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nter Data Here" sheetId="1" r:id="rId4"/>
    <sheet state="hidden" name="DISCLAIMER READ ME" sheetId="2" r:id="rId5"/>
    <sheet state="hidden" name="Annual Data " sheetId="3" r:id="rId6"/>
    <sheet state="visible" name="Ignore This" sheetId="4" r:id="rId7"/>
  </sheets>
  <definedNames/>
  <calcPr/>
  <extLst>
    <ext uri="GoogleSheetsCustomDataVersion2">
      <go:sheetsCustomData xmlns:go="http://customooxmlschemas.google.com/" r:id="rId8" roundtripDataChecksum="g7jxfGZeeca9CLMG9e9uKMWZSPmcT/dGJ3vDbJt11gI="/>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39">
      <text>
        <t xml:space="preserve">======
ID#AAABSq3Yd80
    (2024-07-31 16:23:59)
This is the amount you will need to have in order to make this deal work</t>
      </text>
    </comment>
    <comment authorId="0" ref="J37">
      <text>
        <t xml:space="preserve">======
ID#AAABSq3Yd8w
    (2024-07-31 16:23:59)
PMI is paid in two parts... 
a.) A one-time upfront cost usually wrapped into your loan
b.) A monthly charge added to your payment. Typical monthly cost is 1.5% of the</t>
      </text>
    </comment>
    <comment authorId="0" ref="N29">
      <text>
        <t xml:space="preserve">======
ID#AAABSq3Yd8s
    (2024-07-31 16:23:59)
Water
Sewer
Garbage
Electric 
Wifi
Etc</t>
      </text>
    </comment>
    <comment authorId="0" ref="D40">
      <text>
        <t xml:space="preserve">======
ID#AAABSq3Yd8o
    (2024-07-31 16:23:59)
Principal and Interest Only</t>
      </text>
    </comment>
  </commentList>
  <extLst>
    <ext uri="GoogleSheetsCustomDataVersion2">
      <go:sheetsCustomData xmlns:go="http://customooxmlschemas.google.com/" r:id="rId1" roundtripDataSignature="AMtx7mjhzW2udupy+POzf1QxCIIs8NbByA=="/>
    </ext>
  </extLst>
</comments>
</file>

<file path=xl/sharedStrings.xml><?xml version="1.0" encoding="utf-8"?>
<sst xmlns="http://schemas.openxmlformats.org/spreadsheetml/2006/main" count="142" uniqueCount="135">
  <si>
    <r>
      <rPr>
        <rFont val="Arial"/>
        <b/>
        <color theme="1"/>
        <sz val="10.0"/>
      </rPr>
      <t>Real Estate Calculator Disclaimer</t>
    </r>
    <r>
      <rPr>
        <rFont val="Arial"/>
        <color theme="1"/>
        <sz val="10.0"/>
      </rPr>
      <t xml:space="preserve">
By using this online real estate calculator (the "Calculator"), you acknowledge and agree to the following:
No Warranty or Representation: The Calculator is provided "as is" and without any warranties, either express or implied. We do not warrant or guarantee the accuracy, adequacy, timeliness, reliability, completeness, or usefulness of any of the results provided by the Calculator. All information is provided on an "as is" basis without any representation or endorsement made.
Limitation of Liability: Under no circumstances will we be liable for any loss or damage, including without limitation, indirect or consequential loss or damage, or any loss or damage whatsoever arising from or in connection with the use of the Calculator.
No Professional Advice: The Calculator is intended for general informational purposes only and should not be relied upon as professional real estate or financial advice. Always consult with a qualified professional before making any decisions based on the information provided by the Calculator.
User's Responsibility: It is your responsibility to evaluate the accuracy, completeness, or usefulness of any information, opinion, advice, or content provided in connection with or otherwise available through the Calculator. Please seek the advice of professionals, as appropriate, regarding the evaluation of any specific information, opinion, advice, or content.
No Guarantee: The estimates provided by the Calculator are hypothetical in nature, and actual results may vary. We cannot and do not guarantee that the Calculator will be available at all times, or that it will always function as intended.
By continuing to use the Calculator, you acknowledge that you have read, understood, and agreed to be bound by this disclaimer.</t>
    </r>
  </si>
  <si>
    <t>The Jacob Grant Rental Property Underwriting Tool</t>
  </si>
  <si>
    <t>***Please go to "File"--&gt; "Copy" to make your own version!***</t>
  </si>
  <si>
    <t>Analysis Instruction: Input information for the subject property in all cells highlighted yellow.</t>
  </si>
  <si>
    <t>Property Purchase Information</t>
  </si>
  <si>
    <t>Property Information</t>
  </si>
  <si>
    <t>Purchase Price</t>
  </si>
  <si>
    <t xml:space="preserve">Property Address </t>
  </si>
  <si>
    <t>WIldrose</t>
  </si>
  <si>
    <t>Closing Costs</t>
  </si>
  <si>
    <t>After Repair Value</t>
  </si>
  <si>
    <t>Due Diligence Expenses</t>
  </si>
  <si>
    <t>Repair Costs to Make Rent Ready</t>
  </si>
  <si>
    <t>Monthly Income Information</t>
  </si>
  <si>
    <t>Holding Costs Until Rented</t>
  </si>
  <si>
    <t>Monthly Rent</t>
  </si>
  <si>
    <t>Is this a commercial property? (select)</t>
  </si>
  <si>
    <t>no</t>
  </si>
  <si>
    <t>All-In Total Cost</t>
  </si>
  <si>
    <t>Other Monthly Income</t>
  </si>
  <si>
    <t>Total Monthly Income</t>
  </si>
  <si>
    <t>Loan Information</t>
  </si>
  <si>
    <t>Stabilized Monthly Expense Information</t>
  </si>
  <si>
    <t>Lender Information</t>
  </si>
  <si>
    <t>optional</t>
  </si>
  <si>
    <t>Monthly Loan P&amp;I ($)</t>
  </si>
  <si>
    <t>Repairs &amp; Maintenance (%)</t>
  </si>
  <si>
    <t>Down Payment Percentage</t>
  </si>
  <si>
    <t>Monthly Property Insurance  ($)</t>
  </si>
  <si>
    <t>Utilities ($)</t>
  </si>
  <si>
    <t>Loan Amount</t>
  </si>
  <si>
    <t>Monthly Property Tax ($)</t>
  </si>
  <si>
    <t>Vacancy Rate (%)</t>
  </si>
  <si>
    <t>Loan Interest Rate</t>
  </si>
  <si>
    <t>"Other" Insurance Costs ($)</t>
  </si>
  <si>
    <t>Capital Expenditure (%)</t>
  </si>
  <si>
    <t>Loan Length (years)</t>
  </si>
  <si>
    <t>Monthly HOA Fee ($)</t>
  </si>
  <si>
    <t>Pest Control ($)</t>
  </si>
  <si>
    <t>PMI required? (select dropdown)</t>
  </si>
  <si>
    <t>Monthly Mortgage Insurance ($)</t>
  </si>
  <si>
    <t>Landscaping ($)</t>
  </si>
  <si>
    <t>Total Cash Needed</t>
  </si>
  <si>
    <t>Property Management Fees (%)</t>
  </si>
  <si>
    <t>Other ($)</t>
  </si>
  <si>
    <t>Monthly Loan (P&amp;I) Payment</t>
  </si>
  <si>
    <t>Cash Flow and ROI Financial Projections</t>
  </si>
  <si>
    <t>Future Assumptions</t>
  </si>
  <si>
    <t>Other Property Notes:</t>
  </si>
  <si>
    <t>Annual Rent Increase (%)</t>
  </si>
  <si>
    <t xml:space="preserve">Future Cap Rate at Sale* </t>
  </si>
  <si>
    <t>Total Monthly Expenses</t>
  </si>
  <si>
    <t>Annual Property Value Increase (%)</t>
  </si>
  <si>
    <t>Future Sales Expense (%)</t>
  </si>
  <si>
    <t xml:space="preserve">Total Monthly Cash Flow </t>
  </si>
  <si>
    <t>Operating Expenses Increase</t>
  </si>
  <si>
    <t>Total Annual Cash Flow</t>
  </si>
  <si>
    <t>Cash on Cash Return on Investment</t>
  </si>
  <si>
    <t>*Commercial Real Estate Only</t>
  </si>
  <si>
    <t>Year One Projections</t>
  </si>
  <si>
    <t>Cash Flow Over 30 Years</t>
  </si>
  <si>
    <t>Monthly</t>
  </si>
  <si>
    <t xml:space="preserve">Annual </t>
  </si>
  <si>
    <t>Rent</t>
  </si>
  <si>
    <t>Other Income</t>
  </si>
  <si>
    <t>-Vacancy</t>
  </si>
  <si>
    <t>Total Income</t>
  </si>
  <si>
    <t>Loan P&amp;I</t>
  </si>
  <si>
    <t>Property Insurance</t>
  </si>
  <si>
    <t>Property Taxes</t>
  </si>
  <si>
    <t>Other Insurance Costs</t>
  </si>
  <si>
    <t>HOA Fees</t>
  </si>
  <si>
    <t>Mortgage Insurance</t>
  </si>
  <si>
    <t>Property Management</t>
  </si>
  <si>
    <t>Repairs and Maintenance</t>
  </si>
  <si>
    <t>Utilities</t>
  </si>
  <si>
    <t>Capital Expenditures</t>
  </si>
  <si>
    <t>Pest Control</t>
  </si>
  <si>
    <t>Landscaping</t>
  </si>
  <si>
    <t>Loan Balance and Property Value Over 30 Years</t>
  </si>
  <si>
    <t>Other</t>
  </si>
  <si>
    <t>Total Expenses</t>
  </si>
  <si>
    <t xml:space="preserve">Cash Flow </t>
  </si>
  <si>
    <t>Cash on Cash Return</t>
  </si>
  <si>
    <t>Future Projections</t>
  </si>
  <si>
    <t>Yr</t>
  </si>
  <si>
    <t>Total Profit (CF + Equity) If Sold</t>
  </si>
  <si>
    <t>Avg COC ROI %</t>
  </si>
  <si>
    <t>AAR (Avg Ann Return)</t>
  </si>
  <si>
    <t>Real Estate Calculator Disclaimer
By using this online real estate calculator (the "Calculator"), you acknowledge and agree to the following:
No Warranty or Representation: The Calculator is provided "as is" and without any warranties, either express or implied. We do not warrant or guarantee the accuracy, adequacy, timeliness, reliability, completeness, or usefulness of any of the results provided by the Calculator. All information is provided on an "as is" basis without any representation or endorsement made.
Limitation of Liability: Under no circumstances will we be liable for any loss or damage, including without limitation, indirect or consequential loss or damage, or any loss or damage whatsoever arising from or in connection with the use of the Calculator.
No Professional Advice: The Calculator is intended for general informational purposes only and should not be relied upon as professional real estate or financial advice. Always consult with a qualified professional before making any decisions based on the information provided by the Calculator.
User's Responsibility: It is your responsibility to evaluate the accuracy, completeness, or usefulness of any information, opinion, advice, or content provided in connection with or otherwise available through the Calculator. Please seek the advice of professionals, as appropriate, regarding the evaluation of any specific information, opinion, advice, or content.
No Guarantee: The estimates provided by the Calculator are hypothetical in nature, and actual results may vary. We cannot and do not guarantee that the Calculator will be available at all times, or that it will always function as intended.
By continuing to use the Calculator, you acknowledge that you have read, understood, and agreed to be bound by this disclaimer.</t>
  </si>
  <si>
    <t>INCOME</t>
  </si>
  <si>
    <t>Annual Rent</t>
  </si>
  <si>
    <t>Other Annual Income</t>
  </si>
  <si>
    <t>Less Vacancy Rate</t>
  </si>
  <si>
    <t>Total Annual Income</t>
  </si>
  <si>
    <t>EXPENSES</t>
  </si>
  <si>
    <t>Total Operating Expenses</t>
  </si>
  <si>
    <t>Total Annual Expenses</t>
  </si>
  <si>
    <t>Annual Cash on Cash Return</t>
  </si>
  <si>
    <t>Net Operating Income</t>
  </si>
  <si>
    <t>Hypothetical Future Sale Projections</t>
  </si>
  <si>
    <t>Time</t>
  </si>
  <si>
    <t>Residential Property Value at End of Year</t>
  </si>
  <si>
    <t>Value based on Cap Rate</t>
  </si>
  <si>
    <t>Property Value Used for Below Calculations</t>
  </si>
  <si>
    <t xml:space="preserve">Loan Balance </t>
  </si>
  <si>
    <t xml:space="preserve">Sales Costs if Sold </t>
  </si>
  <si>
    <t>Cummulative Cash Flow Made</t>
  </si>
  <si>
    <t>Proceeds after Sale (Not including invested $)</t>
  </si>
  <si>
    <t>Total money invested (downpayment, cc's, repairs)</t>
  </si>
  <si>
    <t>Total Pre-Tax Profit</t>
  </si>
  <si>
    <t>Average Cash on Cash Return Thus Far</t>
  </si>
  <si>
    <t>Avg Annual Return (if sold)</t>
  </si>
  <si>
    <t>PMI Calculator</t>
  </si>
  <si>
    <t>Annual PMI Amount</t>
  </si>
  <si>
    <t>periods</t>
  </si>
  <si>
    <t>Annual Growth Rate</t>
  </si>
  <si>
    <t>Monthly PMI Amount</t>
  </si>
  <si>
    <t>rate</t>
  </si>
  <si>
    <t>Mobthly Growth Rate</t>
  </si>
  <si>
    <t>Monthly PMI Payment</t>
  </si>
  <si>
    <t>Payment</t>
  </si>
  <si>
    <t>Upfront PMI</t>
  </si>
  <si>
    <t>Month</t>
  </si>
  <si>
    <t>Loan Balance</t>
  </si>
  <si>
    <t>Pmt</t>
  </si>
  <si>
    <t>Interest</t>
  </si>
  <si>
    <t>Principal</t>
  </si>
  <si>
    <t>Ending Balance</t>
  </si>
  <si>
    <t>Property Value (Residential)</t>
  </si>
  <si>
    <t>Cash Flow</t>
  </si>
  <si>
    <t>Sum Total CF Made</t>
  </si>
  <si>
    <t>Property Value</t>
  </si>
  <si>
    <t>Property Values</t>
  </si>
  <si>
    <t>Cash Flow Matrix</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</si>
</sst>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quot;$&quot;#,##0.00"/>
    <numFmt numFmtId="165" formatCode="_(&quot;$&quot;* #,##0.00_);_(&quot;$&quot;* \(#,##0.00\);_(&quot;$&quot;* &quot;-&quot;??_);_(@_)"/>
    <numFmt numFmtId="166" formatCode="&quot;$&quot;#,##0"/>
    <numFmt numFmtId="167" formatCode="0.00%;[Red]\(0.00%\);\-"/>
    <numFmt numFmtId="168" formatCode="_(* #,##0_);_(* \(#,##0\);_(* &quot;-&quot;??_);_(@_)"/>
    <numFmt numFmtId="169" formatCode="0.0%"/>
    <numFmt numFmtId="170" formatCode="0.000%"/>
  </numFmts>
  <fonts count="40">
    <font>
      <sz val="10.0"/>
      <color rgb="FF000000"/>
      <name val="Arial"/>
      <scheme val="minor"/>
    </font>
    <font>
      <b/>
      <sz val="14.0"/>
      <color theme="1"/>
      <name val="Helvetica Neue"/>
    </font>
    <font>
      <sz val="10.0"/>
      <color theme="1"/>
      <name val="Arial"/>
    </font>
    <font/>
    <font>
      <b/>
      <i/>
      <sz val="8.0"/>
      <color theme="1"/>
      <name val="Helvetica Neue"/>
    </font>
    <font>
      <i/>
      <sz val="8.0"/>
      <color theme="1"/>
      <name val="Helvetica Neue"/>
    </font>
    <font>
      <b/>
      <sz val="12.0"/>
      <color rgb="FFFFFFFF"/>
      <name val="Helvetica Neue"/>
    </font>
    <font>
      <i/>
      <sz val="7.0"/>
      <color theme="1"/>
      <name val="Arial"/>
    </font>
    <font>
      <i/>
      <sz val="8.0"/>
      <color theme="1"/>
      <name val="Arial"/>
    </font>
    <font>
      <sz val="10.0"/>
      <color rgb="FF000000"/>
      <name val="Arial"/>
    </font>
    <font>
      <i/>
      <sz val="10.0"/>
      <color theme="1"/>
      <name val="Arial"/>
    </font>
    <font>
      <sz val="8.0"/>
      <color theme="1"/>
      <name val="Arial"/>
    </font>
    <font>
      <i/>
      <sz val="6.0"/>
      <color rgb="FF999999"/>
      <name val="Arial"/>
    </font>
    <font>
      <sz val="8.0"/>
      <color rgb="FF434343"/>
      <name val="Arial"/>
    </font>
    <font>
      <b/>
      <sz val="10.0"/>
      <color theme="1"/>
      <name val="Arial"/>
    </font>
    <font>
      <i/>
      <sz val="9.0"/>
      <color theme="1"/>
      <name val="Arial"/>
    </font>
    <font>
      <sz val="9.0"/>
      <color theme="1"/>
      <name val="Arial"/>
    </font>
    <font>
      <b/>
      <sz val="12.0"/>
      <color theme="1"/>
      <name val="Helvetica Neue"/>
    </font>
    <font>
      <b/>
      <sz val="10.0"/>
      <color rgb="FF000000"/>
      <name val="Arial"/>
    </font>
    <font>
      <b/>
      <sz val="10.0"/>
      <color rgb="FFFFFFFF"/>
      <name val="Arial"/>
    </font>
    <font>
      <sz val="9.0"/>
      <color rgb="FF000000"/>
      <name val="Arial"/>
    </font>
    <font>
      <sz val="7.0"/>
      <color theme="1"/>
      <name val="Arial"/>
    </font>
    <font>
      <b/>
      <sz val="10.0"/>
      <color theme="1"/>
      <name val="Helvetica Neue"/>
    </font>
    <font>
      <b/>
      <u/>
      <sz val="8.0"/>
      <color theme="1"/>
      <name val="Helvetica Neue"/>
    </font>
    <font>
      <b/>
      <u/>
      <sz val="8.0"/>
      <color theme="1"/>
      <name val="Helvetica Neue"/>
    </font>
    <font>
      <b/>
      <sz val="8.0"/>
      <color theme="1"/>
      <name val="Helvetica Neue"/>
    </font>
    <font>
      <sz val="8.0"/>
      <color theme="1"/>
      <name val="Helvetica Neue"/>
    </font>
    <font>
      <b/>
      <i/>
      <sz val="8.0"/>
      <color rgb="FF666666"/>
      <name val="Helvetica Neue"/>
    </font>
    <font>
      <i/>
      <sz val="8.0"/>
      <color rgb="FF666666"/>
      <name val="Helvetica Neue"/>
    </font>
    <font>
      <b/>
      <sz val="8.0"/>
      <color rgb="FF000000"/>
      <name val="Helvetica Neue"/>
    </font>
    <font>
      <b/>
      <sz val="12.0"/>
      <color rgb="FFFFFFFF"/>
      <name val="Arial"/>
    </font>
    <font>
      <sz val="10.0"/>
      <color theme="1"/>
      <name val="Helvetica Neue"/>
    </font>
    <font>
      <b/>
      <sz val="8.0"/>
      <color theme="1"/>
      <name val="Arial"/>
    </font>
    <font>
      <b/>
      <u/>
      <sz val="8.0"/>
      <color theme="1"/>
      <name val="Arial"/>
    </font>
    <font>
      <b/>
      <u/>
      <sz val="8.0"/>
      <color theme="1"/>
      <name val="Arial"/>
    </font>
    <font>
      <b/>
      <u/>
      <sz val="8.0"/>
      <color theme="1"/>
      <name val="Arial"/>
    </font>
    <font>
      <b/>
      <sz val="12.0"/>
      <color theme="1"/>
      <name val="Arial"/>
    </font>
    <font>
      <sz val="8.0"/>
      <color rgb="FFE06666"/>
      <name val="Arial"/>
    </font>
    <font>
      <i/>
      <sz val="8.0"/>
      <color rgb="FF434343"/>
      <name val="Arial"/>
    </font>
    <font>
      <color theme="1"/>
      <name val="Arial"/>
    </font>
  </fonts>
  <fills count="8">
    <fill>
      <patternFill patternType="none"/>
    </fill>
    <fill>
      <patternFill patternType="lightGray"/>
    </fill>
    <fill>
      <patternFill patternType="solid">
        <fgColor rgb="FFF2F2F2"/>
        <bgColor rgb="FFF2F2F2"/>
      </patternFill>
    </fill>
    <fill>
      <patternFill patternType="solid">
        <fgColor rgb="FFDA5026"/>
        <bgColor rgb="FFDA5026"/>
      </patternFill>
    </fill>
    <fill>
      <patternFill patternType="solid">
        <fgColor rgb="FFFCE5CD"/>
        <bgColor rgb="FFFCE5CD"/>
      </patternFill>
    </fill>
    <fill>
      <patternFill patternType="solid">
        <fgColor rgb="FFFFFFFF"/>
        <bgColor rgb="FFFFFFFF"/>
      </patternFill>
    </fill>
    <fill>
      <patternFill patternType="solid">
        <fgColor rgb="FF5B6378"/>
        <bgColor rgb="FF5B6378"/>
      </patternFill>
    </fill>
    <fill>
      <patternFill patternType="solid">
        <fgColor rgb="FFF3F3F3"/>
        <bgColor rgb="FFF3F3F3"/>
      </patternFill>
    </fill>
  </fills>
  <borders count="41">
    <border/>
    <border>
      <left/>
      <top/>
    </border>
    <border>
      <top/>
    </border>
    <border>
      <lef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434343"/>
      </left>
    </border>
    <border>
      <right style="medium">
        <color rgb="FF434343"/>
      </right>
    </border>
    <border>
      <left style="medium">
        <color rgb="FF434343"/>
      </left>
      <right style="medium">
        <color rgb="FF434343"/>
      </right>
      <top style="medium">
        <color rgb="FF434343"/>
      </top>
      <bottom style="medium">
        <color rgb="FF434343"/>
      </bottom>
    </border>
    <border>
      <left style="medium">
        <color rgb="FF434343"/>
      </left>
      <top style="medium">
        <color rgb="FF434343"/>
      </top>
      <bottom style="medium">
        <color rgb="FF434343"/>
      </bottom>
    </border>
    <border>
      <top style="medium">
        <color rgb="FF434343"/>
      </top>
      <bottom style="medium">
        <color rgb="FF434343"/>
      </bottom>
    </border>
    <border>
      <right style="medium">
        <color rgb="FF434343"/>
      </right>
      <top style="medium">
        <color rgb="FF434343"/>
      </top>
      <bottom style="medium">
        <color rgb="FF434343"/>
      </bottom>
    </border>
    <border>
      <left/>
      <top style="medium">
        <color rgb="FF434343"/>
      </top>
      <bottom style="medium">
        <color rgb="FF434343"/>
      </bottom>
    </border>
    <border>
      <left style="medium">
        <color rgb="FF434343"/>
      </left>
      <bottom style="medium">
        <color rgb="FF434343"/>
      </bottom>
    </border>
    <border>
      <bottom style="medium">
        <color rgb="FF434343"/>
      </bottom>
    </border>
    <border>
      <right style="medium">
        <color rgb="FF434343"/>
      </right>
      <bottom style="medium">
        <color rgb="FF434343"/>
      </bottom>
    </border>
    <border>
      <left/>
      <right style="medium">
        <color rgb="FF434343"/>
      </right>
      <top/>
      <bottom style="medium">
        <color rgb="FF434343"/>
      </bottom>
    </border>
    <border>
      <left/>
      <right/>
      <top/>
      <bottom/>
    </border>
    <border>
      <top style="medium">
        <color rgb="FF434343"/>
      </top>
    </border>
    <border>
      <left/>
      <right/>
      <top/>
      <bottom style="thin">
        <color rgb="FF000000"/>
      </bottom>
    </border>
    <border>
      <left style="medium">
        <color rgb="FF434343"/>
      </left>
      <right/>
      <bottom/>
    </border>
    <border>
      <left/>
      <right/>
      <bottom/>
    </border>
    <border>
      <left/>
      <right style="medium">
        <color rgb="FF434343"/>
      </right>
      <bottom/>
    </border>
    <border>
      <left style="medium">
        <color rgb="FF434343"/>
      </left>
      <right/>
      <top/>
      <bottom/>
    </border>
    <border>
      <left/>
      <right style="medium">
        <color rgb="FF434343"/>
      </right>
      <top/>
      <bottom/>
    </border>
    <border>
      <left style="medium">
        <color rgb="FF434343"/>
      </left>
      <right/>
      <top/>
      <bottom style="medium">
        <color rgb="FF434343"/>
      </bottom>
    </border>
    <border>
      <left/>
      <right/>
      <top/>
      <bottom style="medium">
        <color rgb="FF434343"/>
      </bottom>
    </border>
    <border>
      <left/>
      <top/>
      <bottom/>
    </border>
    <border>
      <top/>
      <bottom/>
    </border>
    <border>
      <left style="medium">
        <color rgb="FF434343"/>
      </left>
      <top style="medium">
        <color rgb="FF434343"/>
      </top>
    </border>
    <border>
      <top style="medium">
        <color rgb="FF000000"/>
      </top>
    </border>
    <border>
      <right style="medium">
        <color rgb="FF000000"/>
      </right>
      <top style="medium">
        <color rgb="FF000000"/>
      </top>
    </border>
    <border>
      <right style="medium">
        <color rgb="FF434343"/>
      </right>
      <top style="medium">
        <color rgb="FF434343"/>
      </top>
    </border>
    <border>
      <bottom style="medium">
        <color rgb="FF000000"/>
      </bottom>
    </border>
    <border>
      <right style="medium">
        <color rgb="FF000000"/>
      </right>
      <bottom style="medium">
        <color rgb="FF000000"/>
      </bottom>
    </border>
    <border>
      <left style="medium">
        <color rgb="FF434343"/>
      </left>
      <right/>
      <top style="double">
        <color rgb="FF434343"/>
      </top>
      <bottom/>
    </border>
    <border>
      <left/>
      <right/>
      <top style="double">
        <color rgb="FF434343"/>
      </top>
      <bottom/>
    </border>
    <border>
      <left/>
      <right style="medium">
        <color rgb="FF434343"/>
      </right>
      <top style="double">
        <color rgb="FF434343"/>
      </top>
      <bottom/>
    </border>
    <border>
      <left/>
      <top/>
      <bottom style="medium">
        <color rgb="FF434343"/>
      </bottom>
    </border>
    <border>
      <top/>
      <bottom style="medium">
        <color rgb="FF434343"/>
      </bottom>
    </border>
  </borders>
  <cellStyleXfs count="1">
    <xf borderId="0" fillId="0" fontId="0" numFmtId="0" applyAlignment="1" applyFont="1"/>
  </cellStyleXfs>
  <cellXfs count="204">
    <xf borderId="0" fillId="0" fontId="0" numFmtId="0" xfId="0" applyAlignment="1" applyFont="1">
      <alignment readingOrder="0" shrinkToFit="0" vertical="bottom" wrapText="0"/>
    </xf>
    <xf borderId="0" fillId="0" fontId="1" numFmtId="0" xfId="0" applyAlignment="1" applyFont="1">
      <alignment horizontal="center" vertical="center"/>
    </xf>
    <xf borderId="1" fillId="2" fontId="2" numFmtId="0" xfId="0" applyAlignment="1" applyBorder="1" applyFill="1" applyFont="1">
      <alignment horizontal="left" shrinkToFit="0" vertical="center" wrapText="1"/>
    </xf>
    <xf borderId="2" fillId="0" fontId="3" numFmtId="0" xfId="0" applyBorder="1" applyFont="1"/>
    <xf borderId="3" fillId="0" fontId="3" numFmtId="0" xfId="0" applyBorder="1" applyFont="1"/>
    <xf borderId="0" fillId="0" fontId="1" numFmtId="0" xfId="0" applyAlignment="1" applyFont="1">
      <alignment horizontal="center" readingOrder="0" vertical="center"/>
    </xf>
    <xf borderId="0" fillId="0" fontId="4" numFmtId="0" xfId="0" applyAlignment="1" applyFont="1">
      <alignment horizontal="center" vertical="center"/>
    </xf>
    <xf borderId="0" fillId="0" fontId="5" numFmtId="0" xfId="0" applyAlignment="1" applyFont="1">
      <alignment horizontal="center" vertical="center"/>
    </xf>
    <xf borderId="4" fillId="3" fontId="6" numFmtId="0" xfId="0" applyAlignment="1" applyBorder="1" applyFill="1" applyFont="1">
      <alignment horizontal="center"/>
    </xf>
    <xf borderId="5" fillId="0" fontId="3" numFmtId="0" xfId="0" applyBorder="1" applyFont="1"/>
    <xf borderId="6" fillId="0" fontId="3" numFmtId="0" xfId="0" applyBorder="1" applyFont="1"/>
    <xf borderId="7" fillId="0" fontId="2" numFmtId="0" xfId="0" applyBorder="1" applyFont="1"/>
    <xf borderId="0" fillId="0" fontId="2" numFmtId="0" xfId="0" applyFont="1"/>
    <xf borderId="0" fillId="0" fontId="2" numFmtId="164" xfId="0" applyFont="1" applyNumberFormat="1"/>
    <xf borderId="8" fillId="0" fontId="2" numFmtId="0" xfId="0" applyBorder="1" applyFont="1"/>
    <xf borderId="9" fillId="4" fontId="2" numFmtId="165" xfId="0" applyBorder="1" applyFill="1" applyFont="1" applyNumberFormat="1"/>
    <xf borderId="10" fillId="4" fontId="2" numFmtId="0" xfId="0" applyAlignment="1" applyBorder="1" applyFont="1">
      <alignment horizontal="center"/>
    </xf>
    <xf borderId="11" fillId="0" fontId="3" numFmtId="0" xfId="0" applyBorder="1" applyFont="1"/>
    <xf borderId="12" fillId="0" fontId="3" numFmtId="0" xfId="0" applyBorder="1" applyFont="1"/>
    <xf borderId="0" fillId="0" fontId="2" numFmtId="165" xfId="0" applyFont="1" applyNumberFormat="1"/>
    <xf borderId="13" fillId="4" fontId="2" numFmtId="165" xfId="0" applyBorder="1" applyFont="1" applyNumberFormat="1"/>
    <xf borderId="14" fillId="0" fontId="2" numFmtId="0" xfId="0" applyBorder="1" applyFont="1"/>
    <xf borderId="15" fillId="0" fontId="2" numFmtId="0" xfId="0" applyBorder="1" applyFont="1"/>
    <xf borderId="16" fillId="0" fontId="2" numFmtId="0" xfId="0" applyBorder="1" applyFont="1"/>
    <xf borderId="17" fillId="4" fontId="2" numFmtId="165" xfId="0" applyBorder="1" applyFont="1" applyNumberFormat="1"/>
    <xf borderId="0" fillId="0" fontId="7" numFmtId="0" xfId="0" applyAlignment="1" applyFont="1">
      <alignment horizontal="right"/>
    </xf>
    <xf borderId="18" fillId="4" fontId="8" numFmtId="0" xfId="0" applyAlignment="1" applyBorder="1" applyFont="1">
      <alignment horizontal="center"/>
    </xf>
    <xf borderId="0" fillId="0" fontId="9" numFmtId="165" xfId="0" applyFont="1" applyNumberFormat="1"/>
    <xf borderId="15" fillId="0" fontId="2" numFmtId="165" xfId="0" applyBorder="1" applyFont="1" applyNumberFormat="1"/>
    <xf borderId="0" fillId="0" fontId="8" numFmtId="0" xfId="0" applyAlignment="1" applyFont="1">
      <alignment horizontal="right"/>
    </xf>
    <xf borderId="0" fillId="0" fontId="10" numFmtId="165" xfId="0" applyFont="1" applyNumberFormat="1"/>
    <xf borderId="0" fillId="0" fontId="2" numFmtId="10" xfId="0" applyFont="1" applyNumberFormat="1"/>
    <xf borderId="0" fillId="0" fontId="8" numFmtId="165" xfId="0" applyAlignment="1" applyFont="1" applyNumberFormat="1">
      <alignment horizontal="right"/>
    </xf>
    <xf borderId="0" fillId="0" fontId="11" numFmtId="0" xfId="0" applyFont="1"/>
    <xf borderId="7" fillId="0" fontId="11" numFmtId="0" xfId="0" applyBorder="1" applyFont="1"/>
    <xf borderId="8" fillId="0" fontId="11" numFmtId="0" xfId="0" applyBorder="1" applyFont="1"/>
    <xf borderId="19" fillId="0" fontId="2" numFmtId="0" xfId="0" applyBorder="1" applyFont="1"/>
    <xf borderId="10" fillId="4" fontId="8" numFmtId="0" xfId="0" applyAlignment="1" applyBorder="1" applyFont="1">
      <alignment horizontal="right"/>
    </xf>
    <xf borderId="9" fillId="4" fontId="8" numFmtId="10" xfId="0" applyAlignment="1" applyBorder="1" applyFont="1" applyNumberFormat="1">
      <alignment horizontal="right"/>
    </xf>
    <xf borderId="8" fillId="0" fontId="12" numFmtId="166" xfId="0" applyAlignment="1" applyBorder="1" applyFont="1" applyNumberFormat="1">
      <alignment horizontal="left"/>
    </xf>
    <xf borderId="9" fillId="4" fontId="2" numFmtId="10" xfId="0" applyBorder="1" applyFont="1" applyNumberFormat="1"/>
    <xf borderId="9" fillId="4" fontId="11" numFmtId="165" xfId="0" applyBorder="1" applyFont="1" applyNumberFormat="1"/>
    <xf borderId="9" fillId="4" fontId="11" numFmtId="10" xfId="0" applyBorder="1" applyFont="1" applyNumberFormat="1"/>
    <xf borderId="9" fillId="4" fontId="2" numFmtId="3" xfId="0" applyBorder="1" applyFont="1" applyNumberFormat="1"/>
    <xf borderId="0" fillId="0" fontId="2" numFmtId="3" xfId="0" applyFont="1" applyNumberFormat="1"/>
    <xf borderId="18" fillId="4" fontId="8" numFmtId="164" xfId="0" applyAlignment="1" applyBorder="1" applyFont="1" applyNumberFormat="1">
      <alignment horizontal="center"/>
    </xf>
    <xf borderId="0" fillId="0" fontId="13" numFmtId="165" xfId="0" applyAlignment="1" applyFont="1" applyNumberFormat="1">
      <alignment horizontal="right"/>
    </xf>
    <xf borderId="0" fillId="0" fontId="14" numFmtId="164" xfId="0" applyFont="1" applyNumberFormat="1"/>
    <xf borderId="0" fillId="0" fontId="8" numFmtId="0" xfId="0" applyFont="1"/>
    <xf borderId="0" fillId="0" fontId="8" numFmtId="165" xfId="0" applyFont="1" applyNumberFormat="1"/>
    <xf borderId="9" fillId="4" fontId="11" numFmtId="9" xfId="0" applyBorder="1" applyFont="1" applyNumberFormat="1"/>
    <xf borderId="18" fillId="5" fontId="12" numFmtId="166" xfId="0" applyAlignment="1" applyBorder="1" applyFill="1" applyFont="1" applyNumberFormat="1">
      <alignment horizontal="left"/>
    </xf>
    <xf borderId="0" fillId="0" fontId="14" numFmtId="165" xfId="0" applyFont="1" applyNumberFormat="1"/>
    <xf borderId="0" fillId="0" fontId="15" numFmtId="0" xfId="0" applyFont="1"/>
    <xf borderId="0" fillId="0" fontId="16" numFmtId="0" xfId="0" applyFont="1"/>
    <xf borderId="15" fillId="0" fontId="8" numFmtId="0" xfId="0" applyAlignment="1" applyBorder="1" applyFont="1">
      <alignment horizontal="right"/>
    </xf>
    <xf borderId="15" fillId="0" fontId="8" numFmtId="0" xfId="0" applyBorder="1" applyFont="1"/>
    <xf borderId="0" fillId="0" fontId="2" numFmtId="0" xfId="0" applyAlignment="1" applyFont="1">
      <alignment horizontal="left"/>
    </xf>
    <xf borderId="0" fillId="0" fontId="9" numFmtId="0" xfId="0" applyFont="1"/>
    <xf borderId="4" fillId="3" fontId="6" numFmtId="0" xfId="0" applyAlignment="1" applyBorder="1" applyFont="1">
      <alignment horizontal="center" vertical="center"/>
    </xf>
    <xf borderId="0" fillId="0" fontId="17" numFmtId="0" xfId="0" applyAlignment="1" applyFont="1">
      <alignment horizontal="center" vertical="center"/>
    </xf>
    <xf borderId="20" fillId="4" fontId="18" numFmtId="0" xfId="0" applyBorder="1" applyFont="1"/>
    <xf borderId="20" fillId="4" fontId="9" numFmtId="0" xfId="0" applyBorder="1" applyFont="1"/>
    <xf borderId="20" fillId="4" fontId="9" numFmtId="165" xfId="0" applyBorder="1" applyFont="1" applyNumberFormat="1"/>
    <xf borderId="21" fillId="3" fontId="2" numFmtId="0" xfId="0" applyBorder="1" applyFont="1"/>
    <xf borderId="22" fillId="3" fontId="2" numFmtId="0" xfId="0" applyBorder="1" applyFont="1"/>
    <xf borderId="22" fillId="4" fontId="2" numFmtId="0" xfId="0" applyBorder="1" applyFont="1"/>
    <xf borderId="23" fillId="4" fontId="2" numFmtId="0" xfId="0" applyBorder="1" applyFont="1"/>
    <xf borderId="21" fillId="5" fontId="2" numFmtId="0" xfId="0" applyBorder="1" applyFont="1"/>
    <xf borderId="22" fillId="5" fontId="2" numFmtId="0" xfId="0" applyBorder="1" applyFont="1"/>
    <xf borderId="23" fillId="5" fontId="2" numFmtId="0" xfId="0" applyBorder="1" applyFont="1"/>
    <xf borderId="1" fillId="4" fontId="9" numFmtId="0" xfId="0" applyAlignment="1" applyBorder="1" applyFont="1">
      <alignment horizontal="left" vertical="top"/>
    </xf>
    <xf borderId="24" fillId="3" fontId="2" numFmtId="0" xfId="0" applyBorder="1" applyFont="1"/>
    <xf borderId="18" fillId="3" fontId="2" numFmtId="0" xfId="0" applyBorder="1" applyFont="1"/>
    <xf borderId="18" fillId="3" fontId="19" numFmtId="0" xfId="0" applyBorder="1" applyFont="1"/>
    <xf borderId="18" fillId="4" fontId="14" numFmtId="165" xfId="0" applyBorder="1" applyFont="1" applyNumberFormat="1"/>
    <xf borderId="25" fillId="4" fontId="2" numFmtId="0" xfId="0" applyBorder="1" applyFont="1"/>
    <xf borderId="24" fillId="5" fontId="2" numFmtId="0" xfId="0" applyBorder="1" applyFont="1"/>
    <xf borderId="18" fillId="5" fontId="2" numFmtId="0" xfId="0" applyBorder="1" applyFont="1"/>
    <xf borderId="25" fillId="5" fontId="2" numFmtId="0" xfId="0" applyBorder="1" applyFont="1"/>
    <xf borderId="18" fillId="3" fontId="10" numFmtId="0" xfId="0" applyBorder="1" applyFont="1"/>
    <xf borderId="18" fillId="4" fontId="2" numFmtId="165" xfId="0" applyBorder="1" applyFont="1" applyNumberFormat="1"/>
    <xf borderId="18" fillId="5" fontId="20" numFmtId="0" xfId="0" applyBorder="1" applyFont="1"/>
    <xf borderId="18" fillId="4" fontId="19" numFmtId="10" xfId="0" applyBorder="1" applyFont="1" applyNumberFormat="1"/>
    <xf borderId="18" fillId="5" fontId="21" numFmtId="0" xfId="0" applyAlignment="1" applyBorder="1" applyFont="1">
      <alignment horizontal="right"/>
    </xf>
    <xf borderId="18" fillId="4" fontId="14" numFmtId="167" xfId="0" applyBorder="1" applyFont="1" applyNumberFormat="1"/>
    <xf borderId="26" fillId="3" fontId="2" numFmtId="0" xfId="0" applyBorder="1" applyFont="1"/>
    <xf borderId="27" fillId="3" fontId="2" numFmtId="0" xfId="0" applyBorder="1" applyFont="1"/>
    <xf borderId="27" fillId="4" fontId="2" numFmtId="0" xfId="0" applyBorder="1" applyFont="1"/>
    <xf borderId="17" fillId="4" fontId="2" numFmtId="0" xfId="0" applyBorder="1" applyFont="1"/>
    <xf borderId="26" fillId="5" fontId="2" numFmtId="0" xfId="0" applyBorder="1" applyFont="1"/>
    <xf borderId="27" fillId="5" fontId="2" numFmtId="0" xfId="0" applyBorder="1" applyFont="1"/>
    <xf borderId="17" fillId="5" fontId="2" numFmtId="0" xfId="0" applyBorder="1" applyFont="1"/>
    <xf borderId="28" fillId="6" fontId="17" numFmtId="0" xfId="0" applyAlignment="1" applyBorder="1" applyFill="1" applyFont="1">
      <alignment horizontal="center" vertical="center"/>
    </xf>
    <xf borderId="29" fillId="0" fontId="3" numFmtId="0" xfId="0" applyBorder="1" applyFont="1"/>
    <xf borderId="30" fillId="3" fontId="2" numFmtId="0" xfId="0" applyBorder="1" applyFont="1"/>
    <xf borderId="31" fillId="3" fontId="6" numFmtId="0" xfId="0" applyAlignment="1" applyBorder="1" applyFont="1">
      <alignment horizontal="center" vertical="center"/>
    </xf>
    <xf borderId="31" fillId="0" fontId="3" numFmtId="0" xfId="0" applyBorder="1" applyFont="1"/>
    <xf borderId="32" fillId="0" fontId="3" numFmtId="0" xfId="0" applyBorder="1" applyFont="1"/>
    <xf borderId="30" fillId="3" fontId="6" numFmtId="0" xfId="0" applyAlignment="1" applyBorder="1" applyFont="1">
      <alignment horizontal="center" vertical="center"/>
    </xf>
    <xf borderId="19" fillId="0" fontId="3" numFmtId="0" xfId="0" applyBorder="1" applyFont="1"/>
    <xf borderId="33" fillId="0" fontId="3" numFmtId="0" xfId="0" applyBorder="1" applyFont="1"/>
    <xf borderId="7" fillId="3" fontId="2" numFmtId="0" xfId="0" applyBorder="1" applyFont="1"/>
    <xf borderId="34" fillId="0" fontId="3" numFmtId="0" xfId="0" applyBorder="1" applyFont="1"/>
    <xf borderId="35" fillId="0" fontId="3" numFmtId="0" xfId="0" applyBorder="1" applyFont="1"/>
    <xf borderId="14" fillId="0" fontId="3" numFmtId="0" xfId="0" applyBorder="1" applyFont="1"/>
    <xf borderId="15" fillId="0" fontId="3" numFmtId="0" xfId="0" applyBorder="1" applyFont="1"/>
    <xf borderId="16" fillId="0" fontId="3" numFmtId="0" xfId="0" applyBorder="1" applyFont="1"/>
    <xf borderId="21" fillId="7" fontId="22" numFmtId="0" xfId="0" applyBorder="1" applyFill="1" applyFont="1"/>
    <xf borderId="22" fillId="7" fontId="23" numFmtId="0" xfId="0" applyAlignment="1" applyBorder="1" applyFont="1">
      <alignment horizontal="right"/>
    </xf>
    <xf borderId="23" fillId="7" fontId="24" numFmtId="0" xfId="0" applyAlignment="1" applyBorder="1" applyFont="1">
      <alignment horizontal="right"/>
    </xf>
    <xf borderId="7" fillId="0" fontId="3" numFmtId="0" xfId="0" applyBorder="1" applyFont="1"/>
    <xf borderId="24" fillId="5" fontId="25" numFmtId="0" xfId="0" applyAlignment="1" applyBorder="1" applyFont="1">
      <alignment horizontal="right"/>
    </xf>
    <xf borderId="18" fillId="5" fontId="26" numFmtId="165" xfId="0" applyBorder="1" applyFont="1" applyNumberFormat="1"/>
    <xf borderId="25" fillId="5" fontId="26" numFmtId="165" xfId="0" applyBorder="1" applyFont="1" applyNumberFormat="1"/>
    <xf borderId="24" fillId="7" fontId="25" numFmtId="0" xfId="0" applyAlignment="1" applyBorder="1" applyFont="1">
      <alignment horizontal="right"/>
    </xf>
    <xf borderId="18" fillId="7" fontId="26" numFmtId="165" xfId="0" applyBorder="1" applyFont="1" applyNumberFormat="1"/>
    <xf borderId="25" fillId="7" fontId="26" numFmtId="165" xfId="0" applyBorder="1" applyFont="1" applyNumberFormat="1"/>
    <xf borderId="24" fillId="5" fontId="27" numFmtId="0" xfId="0" applyAlignment="1" applyBorder="1" applyFont="1">
      <alignment horizontal="right"/>
    </xf>
    <xf borderId="18" fillId="5" fontId="28" numFmtId="165" xfId="0" applyBorder="1" applyFont="1" applyNumberFormat="1"/>
    <xf borderId="25" fillId="5" fontId="28" numFmtId="165" xfId="0" applyBorder="1" applyFont="1" applyNumberFormat="1"/>
    <xf borderId="36" fillId="7" fontId="29" numFmtId="0" xfId="0" applyAlignment="1" applyBorder="1" applyFont="1">
      <alignment horizontal="right"/>
    </xf>
    <xf borderId="37" fillId="7" fontId="29" numFmtId="165" xfId="0" applyBorder="1" applyFont="1" applyNumberFormat="1"/>
    <xf borderId="38" fillId="7" fontId="29" numFmtId="165" xfId="0" applyBorder="1" applyFont="1" applyNumberFormat="1"/>
    <xf borderId="24" fillId="5" fontId="22" numFmtId="0" xfId="0" applyAlignment="1" applyBorder="1" applyFont="1">
      <alignment horizontal="left"/>
    </xf>
    <xf borderId="25" fillId="5" fontId="26" numFmtId="165" xfId="0" applyAlignment="1" applyBorder="1" applyFont="1" applyNumberFormat="1">
      <alignment horizontal="right"/>
    </xf>
    <xf borderId="28" fillId="5" fontId="2" numFmtId="0" xfId="0" applyBorder="1" applyFont="1"/>
    <xf borderId="30" fillId="3" fontId="30" numFmtId="0" xfId="0" applyAlignment="1" applyBorder="1" applyFont="1">
      <alignment horizontal="center" vertical="center"/>
    </xf>
    <xf borderId="36" fillId="5" fontId="25" numFmtId="0" xfId="0" applyAlignment="1" applyBorder="1" applyFont="1">
      <alignment horizontal="right"/>
    </xf>
    <xf borderId="37" fillId="5" fontId="25" numFmtId="165" xfId="0" applyBorder="1" applyFont="1" applyNumberFormat="1"/>
    <xf borderId="38" fillId="5" fontId="25" numFmtId="165" xfId="0" applyBorder="1" applyFont="1" applyNumberFormat="1"/>
    <xf borderId="24" fillId="7" fontId="31" numFmtId="0" xfId="0" applyBorder="1" applyFont="1"/>
    <xf borderId="18" fillId="7" fontId="31" numFmtId="165" xfId="0" applyBorder="1" applyFont="1" applyNumberFormat="1"/>
    <xf borderId="25" fillId="7" fontId="31" numFmtId="165" xfId="0" applyBorder="1" applyFont="1" applyNumberFormat="1"/>
    <xf borderId="24" fillId="4" fontId="25" numFmtId="0" xfId="0" applyBorder="1" applyFont="1"/>
    <xf borderId="18" fillId="4" fontId="25" numFmtId="165" xfId="0" applyBorder="1" applyFont="1" applyNumberFormat="1"/>
    <xf borderId="25" fillId="4" fontId="25" numFmtId="165" xfId="0" applyBorder="1" applyFont="1" applyNumberFormat="1"/>
    <xf borderId="26" fillId="4" fontId="32" numFmtId="0" xfId="0" applyBorder="1" applyFont="1"/>
    <xf borderId="17" fillId="4" fontId="26" numFmtId="167" xfId="0" applyBorder="1" applyFont="1" applyNumberFormat="1"/>
    <xf borderId="10" fillId="3" fontId="30" numFmtId="0" xfId="0" applyAlignment="1" applyBorder="1" applyFont="1">
      <alignment horizontal="center"/>
    </xf>
    <xf borderId="25" fillId="5" fontId="8" numFmtId="0" xfId="0" applyAlignment="1" applyBorder="1" applyFont="1">
      <alignment horizontal="right"/>
    </xf>
    <xf borderId="24" fillId="7" fontId="33" numFmtId="0" xfId="0" applyAlignment="1" applyBorder="1" applyFont="1">
      <alignment horizontal="center"/>
    </xf>
    <xf borderId="18" fillId="7" fontId="34" numFmtId="0" xfId="0" applyAlignment="1" applyBorder="1" applyFont="1">
      <alignment horizontal="right"/>
    </xf>
    <xf borderId="25" fillId="7" fontId="35" numFmtId="0" xfId="0" applyAlignment="1" applyBorder="1" applyFont="1">
      <alignment horizontal="right"/>
    </xf>
    <xf borderId="24" fillId="5" fontId="11" numFmtId="0" xfId="0" applyAlignment="1" applyBorder="1" applyFont="1">
      <alignment horizontal="center"/>
    </xf>
    <xf borderId="18" fillId="5" fontId="11" numFmtId="165" xfId="0" applyAlignment="1" applyBorder="1" applyFont="1" applyNumberFormat="1">
      <alignment horizontal="right"/>
    </xf>
    <xf borderId="18" fillId="5" fontId="11" numFmtId="167" xfId="0" applyAlignment="1" applyBorder="1" applyFont="1" applyNumberFormat="1">
      <alignment horizontal="right"/>
    </xf>
    <xf borderId="25" fillId="5" fontId="11" numFmtId="167" xfId="0" applyBorder="1" applyFont="1" applyNumberFormat="1"/>
    <xf borderId="24" fillId="7" fontId="11" numFmtId="0" xfId="0" applyAlignment="1" applyBorder="1" applyFont="1">
      <alignment horizontal="center"/>
    </xf>
    <xf borderId="18" fillId="7" fontId="11" numFmtId="165" xfId="0" applyAlignment="1" applyBorder="1" applyFont="1" applyNumberFormat="1">
      <alignment horizontal="right"/>
    </xf>
    <xf borderId="18" fillId="7" fontId="11" numFmtId="167" xfId="0" applyAlignment="1" applyBorder="1" applyFont="1" applyNumberFormat="1">
      <alignment horizontal="right"/>
    </xf>
    <xf borderId="25" fillId="7" fontId="11" numFmtId="167" xfId="0" applyBorder="1" applyFont="1" applyNumberFormat="1"/>
    <xf borderId="18" fillId="7" fontId="11" numFmtId="167" xfId="0" applyBorder="1" applyFont="1" applyNumberFormat="1"/>
    <xf borderId="39" fillId="5" fontId="2" numFmtId="0" xfId="0" applyAlignment="1" applyBorder="1" applyFont="1">
      <alignment horizontal="right"/>
    </xf>
    <xf borderId="40" fillId="0" fontId="3" numFmtId="0" xfId="0" applyBorder="1" applyFont="1"/>
    <xf borderId="18" fillId="5" fontId="2" numFmtId="10" xfId="0" applyBorder="1" applyFont="1" applyNumberFormat="1"/>
    <xf borderId="0" fillId="0" fontId="36" numFmtId="0" xfId="0" applyAlignment="1" applyFont="1">
      <alignment horizontal="center" vertical="center"/>
    </xf>
    <xf borderId="0" fillId="0" fontId="2" numFmtId="0" xfId="0" applyAlignment="1" applyFont="1">
      <alignment shrinkToFit="0" wrapText="1"/>
    </xf>
    <xf borderId="18" fillId="5" fontId="11" numFmtId="0" xfId="0" applyBorder="1" applyFont="1"/>
    <xf borderId="18" fillId="7" fontId="11" numFmtId="0" xfId="0" applyBorder="1" applyFont="1"/>
    <xf borderId="18" fillId="7" fontId="32" numFmtId="0" xfId="0" applyBorder="1" applyFont="1"/>
    <xf borderId="18" fillId="5" fontId="11" numFmtId="0" xfId="0" applyAlignment="1" applyBorder="1" applyFont="1">
      <alignment horizontal="right"/>
    </xf>
    <xf borderId="18" fillId="5" fontId="11" numFmtId="166" xfId="0" applyBorder="1" applyFont="1" applyNumberFormat="1"/>
    <xf borderId="18" fillId="5" fontId="11" numFmtId="166" xfId="0" applyAlignment="1" applyBorder="1" applyFont="1" applyNumberFormat="1">
      <alignment horizontal="right"/>
    </xf>
    <xf borderId="18" fillId="7" fontId="11" numFmtId="0" xfId="0" applyAlignment="1" applyBorder="1" applyFont="1">
      <alignment horizontal="right"/>
    </xf>
    <xf borderId="18" fillId="7" fontId="11" numFmtId="164" xfId="0" applyBorder="1" applyFont="1" applyNumberFormat="1"/>
    <xf borderId="18" fillId="5" fontId="37" numFmtId="166" xfId="0" applyBorder="1" applyFont="1" applyNumberFormat="1"/>
    <xf borderId="18" fillId="7" fontId="11" numFmtId="166" xfId="0" applyBorder="1" applyFont="1" applyNumberFormat="1"/>
    <xf borderId="18" fillId="5" fontId="32" numFmtId="0" xfId="0" applyBorder="1" applyFont="1"/>
    <xf borderId="18" fillId="5" fontId="11" numFmtId="164" xfId="0" applyBorder="1" applyFont="1" applyNumberFormat="1"/>
    <xf borderId="18" fillId="5" fontId="11" numFmtId="10" xfId="0" applyBorder="1" applyFont="1" applyNumberFormat="1"/>
    <xf borderId="18" fillId="5" fontId="9" numFmtId="0" xfId="0" applyBorder="1" applyFont="1"/>
    <xf borderId="18" fillId="7" fontId="11" numFmtId="168" xfId="0" applyBorder="1" applyFont="1" applyNumberFormat="1"/>
    <xf borderId="18" fillId="7" fontId="13" numFmtId="0" xfId="0" applyBorder="1" applyFont="1"/>
    <xf borderId="18" fillId="7" fontId="13" numFmtId="166" xfId="0" applyBorder="1" applyFont="1" applyNumberFormat="1"/>
    <xf borderId="18" fillId="5" fontId="38" numFmtId="0" xfId="0" applyBorder="1" applyFont="1"/>
    <xf borderId="18" fillId="5" fontId="38" numFmtId="0" xfId="0" applyAlignment="1" applyBorder="1" applyFont="1">
      <alignment horizontal="right"/>
    </xf>
    <xf borderId="18" fillId="5" fontId="38" numFmtId="164" xfId="0" applyBorder="1" applyFont="1" applyNumberFormat="1"/>
    <xf borderId="18" fillId="7" fontId="8" numFmtId="0" xfId="0" applyBorder="1" applyFont="1"/>
    <xf borderId="18" fillId="5" fontId="8" numFmtId="0" xfId="0" applyBorder="1" applyFont="1"/>
    <xf borderId="18" fillId="5" fontId="16" numFmtId="0" xfId="0" applyBorder="1" applyFont="1"/>
    <xf borderId="18" fillId="5" fontId="32" numFmtId="169" xfId="0" applyBorder="1" applyFont="1" applyNumberFormat="1"/>
    <xf borderId="30" fillId="0" fontId="2" numFmtId="0" xfId="0" applyBorder="1" applyFont="1"/>
    <xf borderId="9" fillId="0" fontId="2" numFmtId="0" xfId="0" applyBorder="1" applyFont="1"/>
    <xf borderId="33" fillId="0" fontId="2" numFmtId="10" xfId="0" applyBorder="1" applyFont="1" applyNumberFormat="1"/>
    <xf borderId="9" fillId="5" fontId="20" numFmtId="0" xfId="0" applyBorder="1" applyFont="1"/>
    <xf borderId="9" fillId="0" fontId="2" numFmtId="10" xfId="0" applyBorder="1" applyFont="1" applyNumberFormat="1"/>
    <xf borderId="16" fillId="0" fontId="2" numFmtId="170" xfId="0" applyBorder="1" applyFont="1" applyNumberFormat="1"/>
    <xf borderId="15" fillId="0" fontId="2" numFmtId="164" xfId="0" applyBorder="1" applyFont="1" applyNumberFormat="1"/>
    <xf borderId="0" fillId="0" fontId="2" numFmtId="0" xfId="0" applyFont="1"/>
    <xf borderId="0" fillId="0" fontId="2" numFmtId="164" xfId="0" applyFont="1" applyNumberFormat="1"/>
    <xf borderId="18" fillId="5" fontId="20" numFmtId="164" xfId="0" applyBorder="1" applyFont="1" applyNumberFormat="1"/>
    <xf borderId="0" fillId="0" fontId="39" numFmtId="0" xfId="0" applyFont="1"/>
    <xf borderId="30" fillId="0" fontId="2" numFmtId="0" xfId="0" applyBorder="1" applyFont="1"/>
    <xf borderId="19" fillId="0" fontId="2" numFmtId="0" xfId="0" applyBorder="1" applyFont="1"/>
    <xf borderId="33" fillId="0" fontId="2" numFmtId="0" xfId="0" applyBorder="1" applyFont="1"/>
    <xf borderId="7" fillId="0" fontId="2" numFmtId="0" xfId="0" applyBorder="1" applyFont="1"/>
    <xf borderId="0" fillId="0" fontId="2" numFmtId="166" xfId="0" applyFont="1" applyNumberFormat="1"/>
    <xf borderId="8" fillId="0" fontId="2" numFmtId="166" xfId="0" applyBorder="1" applyFont="1" applyNumberFormat="1"/>
    <xf borderId="8" fillId="0" fontId="2" numFmtId="0" xfId="0" applyBorder="1" applyFont="1"/>
    <xf borderId="14" fillId="0" fontId="2" numFmtId="0" xfId="0" applyBorder="1" applyFont="1"/>
    <xf borderId="15" fillId="0" fontId="2" numFmtId="0" xfId="0" applyBorder="1" applyFont="1"/>
    <xf borderId="16" fillId="0" fontId="2" numFmtId="0" xfId="0" applyBorder="1" applyFont="1"/>
    <xf borderId="0" fillId="0" fontId="38" numFmtId="0" xfId="0" applyFont="1"/>
  </cellXfs>
  <cellStyles count="1">
    <cellStyle xfId="0" name="Normal" builtinId="0"/>
  </cellStyles>
  <dxfs count="4">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1">
    <tableStyle count="3" pivot="0" name="Ignore This-style">
      <tableStyleElement dxfId="1" type="headerRow"/>
      <tableStyleElement dxfId="2" type="firstRowStripe"/>
      <tableStyleElement dxfId="3"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rgbClr val="5B6378"/>
            </a:solidFill>
            <a:ln cmpd="sng">
              <a:solidFill>
                <a:srgbClr val="000000"/>
              </a:solidFill>
            </a:ln>
          </c:spPr>
          <c:val>
            <c:numRef>
              <c:f>'Annual Data '!$C$26:$AF$26</c:f>
              <c:numCache/>
            </c:numRef>
          </c:val>
        </c:ser>
        <c:axId val="554429197"/>
        <c:axId val="699934701"/>
      </c:barChart>
      <c:catAx>
        <c:axId val="55442919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699934701"/>
      </c:catAx>
      <c:valAx>
        <c:axId val="69993470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mn-lt"/>
                  </a:defRPr>
                </a:pPr>
                <a:r>
                  <a:rPr b="0" i="0">
                    <a:solidFill>
                      <a:srgbClr val="000000"/>
                    </a:solidFill>
                    <a:latin typeface="+mn-lt"/>
                  </a:rPr>
                  <a:t>Total Annual Cash Flow</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554429197"/>
      </c:valAx>
    </c:plotArea>
    <c:legend>
      <c:legendPos val="r"/>
      <c:overlay val="0"/>
      <c:txPr>
        <a:bodyPr/>
        <a:lstStyle/>
        <a:p>
          <a:pPr lvl="0">
            <a:defRPr b="0" i="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areaChart>
        <c:ser>
          <c:idx val="0"/>
          <c:order val="0"/>
          <c:spPr>
            <a:solidFill>
              <a:srgbClr val="4285F4">
                <a:alpha val="30000"/>
              </a:srgbClr>
            </a:solidFill>
            <a:ln cmpd="sng">
              <a:solidFill>
                <a:srgbClr val="4285F4"/>
              </a:solidFill>
            </a:ln>
          </c:spPr>
          <c:cat>
            <c:strRef>
              <c:f>'Annual Data '!$C$36:$AF$36</c:f>
            </c:strRef>
          </c:cat>
          <c:val>
            <c:numRef>
              <c:f>'Annual Data '!$C$39:$AF$39</c:f>
              <c:numCache/>
            </c:numRef>
          </c:val>
        </c:ser>
        <c:ser>
          <c:idx val="1"/>
          <c:order val="1"/>
          <c:spPr>
            <a:solidFill>
              <a:srgbClr val="EA4335">
                <a:alpha val="30000"/>
              </a:srgbClr>
            </a:solidFill>
            <a:ln cmpd="sng">
              <a:solidFill>
                <a:srgbClr val="EA4335"/>
              </a:solidFill>
            </a:ln>
          </c:spPr>
          <c:cat>
            <c:strRef>
              <c:f>'Annual Data '!$C$36:$AF$36</c:f>
            </c:strRef>
          </c:cat>
          <c:val>
            <c:numRef>
              <c:f>'Annual Data '!$C$40:$AF$40</c:f>
              <c:numCache/>
            </c:numRef>
          </c:val>
        </c:ser>
        <c:axId val="1918201923"/>
        <c:axId val="933251181"/>
      </c:areaChart>
      <c:catAx>
        <c:axId val="1918201923"/>
        <c:scaling>
          <c:orientation val="minMax"/>
        </c:scaling>
        <c:delete val="0"/>
        <c:axPos val="b"/>
        <c:title>
          <c:tx>
            <c:rich>
              <a:bodyPr/>
              <a:lstStyle/>
              <a:p>
                <a:pPr lvl="0">
                  <a:defRPr b="0" i="0">
                    <a:solidFill>
                      <a:srgbClr val="000000"/>
                    </a:solidFill>
                    <a:latin typeface="+mn-lt"/>
                  </a:defRPr>
                </a:pPr>
                <a:r>
                  <a:rPr b="0" i="0">
                    <a:solidFill>
                      <a:srgbClr val="000000"/>
                    </a:solidFill>
                    <a:latin typeface="+mn-lt"/>
                  </a:rPr>
                  <a:t>Years</a:t>
                </a:r>
              </a:p>
            </c:rich>
          </c:tx>
          <c:overlay val="0"/>
        </c:title>
        <c:numFmt formatCode="General" sourceLinked="1"/>
        <c:majorTickMark val="none"/>
        <c:minorTickMark val="none"/>
        <c:spPr/>
        <c:txPr>
          <a:bodyPr/>
          <a:lstStyle/>
          <a:p>
            <a:pPr lvl="0">
              <a:defRPr b="0" i="0">
                <a:solidFill>
                  <a:srgbClr val="000000"/>
                </a:solidFill>
                <a:latin typeface="+mn-lt"/>
              </a:defRPr>
            </a:pPr>
          </a:p>
        </c:txPr>
        <c:crossAx val="933251181"/>
      </c:catAx>
      <c:valAx>
        <c:axId val="93325118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918201923"/>
      </c:valAx>
    </c:plotArea>
    <c:legend>
      <c:legendPos val="r"/>
      <c:overlay val="0"/>
      <c:txPr>
        <a:bodyPr/>
        <a:lstStyle/>
        <a:p>
          <a:pPr lvl="0">
            <a:defRPr b="0" i="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371475</xdr:colOff>
      <xdr:row>60</xdr:row>
      <xdr:rowOff>114300</xdr:rowOff>
    </xdr:from>
    <xdr:ext cx="5381625" cy="2781300"/>
    <xdr:graphicFrame>
      <xdr:nvGraphicFramePr>
        <xdr:cNvPr id="88584195"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9</xdr:col>
      <xdr:colOff>390525</xdr:colOff>
      <xdr:row>79</xdr:row>
      <xdr:rowOff>95250</xdr:rowOff>
    </xdr:from>
    <xdr:ext cx="5343525" cy="3181350"/>
    <xdr:graphicFrame>
      <xdr:nvGraphicFramePr>
        <xdr:cNvPr id="1311315870"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4</xdr:col>
      <xdr:colOff>0</xdr:colOff>
      <xdr:row>1</xdr:row>
      <xdr:rowOff>0</xdr:rowOff>
    </xdr:from>
    <xdr:ext cx="1095375" cy="200025"/>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9:AM368" displayName="Table_1" name="Table_1" id="1">
  <tableColumns count="39">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 name="Column30" id="30"/>
    <tableColumn name="Column31" id="31"/>
    <tableColumn name="Column32" id="32"/>
    <tableColumn name="Column33" id="33"/>
    <tableColumn name="Column34" id="34"/>
    <tableColumn name="Column35" id="35"/>
    <tableColumn name="Column36" id="36"/>
    <tableColumn name="Column37" id="37"/>
    <tableColumn name="Column38" id="38"/>
    <tableColumn name="Column39" id="39"/>
  </tableColumns>
  <tableStyleInfo name="Ignore This-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3.63"/>
    <col customWidth="1" min="2" max="2" width="1.88"/>
    <col customWidth="1" min="3" max="3" width="3.63"/>
    <col customWidth="1" min="4" max="4" width="26.88"/>
    <col customWidth="1" min="5" max="6" width="14.5"/>
    <col customWidth="1" min="7" max="7" width="1.13"/>
    <col customWidth="1" min="8" max="8" width="1.63"/>
    <col customWidth="1" min="9" max="9" width="1.88"/>
    <col customWidth="1" min="10" max="10" width="25.38"/>
    <col customWidth="1" min="11" max="11" width="3.5"/>
    <col customWidth="1" min="12" max="12" width="12.13"/>
    <col customWidth="1" min="13" max="13" width="1.13"/>
    <col customWidth="1" min="14" max="14" width="21.38"/>
    <col customWidth="1" min="15" max="15" width="0.88"/>
    <col customWidth="1" min="16" max="16" width="14.63"/>
    <col customWidth="1" min="17" max="17" width="3.38"/>
    <col customWidth="1" min="18" max="18" width="5.0"/>
    <col customWidth="1" min="19" max="19" width="4.13"/>
  </cols>
  <sheetData>
    <row r="1" ht="15.75" customHeight="1"/>
    <row r="2" ht="15.75" customHeight="1">
      <c r="E2" s="1"/>
      <c r="M2" s="1"/>
      <c r="S2" s="2" t="s">
        <v>0</v>
      </c>
      <c r="T2" s="3"/>
      <c r="U2" s="3"/>
      <c r="V2" s="3"/>
      <c r="W2" s="3"/>
      <c r="X2" s="3"/>
    </row>
    <row r="3" ht="15.75" customHeight="1">
      <c r="M3" s="1"/>
      <c r="S3" s="4"/>
    </row>
    <row r="4" ht="15.75" customHeight="1">
      <c r="E4" s="5" t="s">
        <v>1</v>
      </c>
      <c r="S4" s="4"/>
    </row>
    <row r="5" ht="15.75" customHeight="1">
      <c r="S5" s="4"/>
    </row>
    <row r="6" ht="15.75" customHeight="1">
      <c r="E6" s="6" t="s">
        <v>2</v>
      </c>
      <c r="S6" s="4"/>
    </row>
    <row r="7" ht="12.75" customHeight="1">
      <c r="E7" s="7" t="s">
        <v>3</v>
      </c>
      <c r="S7" s="4"/>
    </row>
    <row r="8" ht="15.75" customHeight="1">
      <c r="S8" s="4"/>
    </row>
    <row r="9" ht="15.75" customHeight="1">
      <c r="S9" s="4"/>
    </row>
    <row r="10" ht="15.75" customHeight="1">
      <c r="B10" s="8" t="s">
        <v>4</v>
      </c>
      <c r="C10" s="9"/>
      <c r="D10" s="9"/>
      <c r="E10" s="9"/>
      <c r="F10" s="9"/>
      <c r="G10" s="10"/>
      <c r="I10" s="8" t="s">
        <v>5</v>
      </c>
      <c r="J10" s="9"/>
      <c r="K10" s="9"/>
      <c r="L10" s="9"/>
      <c r="M10" s="9"/>
      <c r="N10" s="9"/>
      <c r="O10" s="9"/>
      <c r="P10" s="9"/>
      <c r="Q10" s="10"/>
      <c r="S10" s="4"/>
    </row>
    <row r="11" ht="5.25" customHeight="1">
      <c r="B11" s="11"/>
      <c r="D11" s="12"/>
      <c r="E11" s="12"/>
      <c r="F11" s="13"/>
      <c r="G11" s="14"/>
      <c r="I11" s="11"/>
      <c r="Q11" s="14"/>
      <c r="S11" s="4"/>
    </row>
    <row r="12" ht="15.75" customHeight="1">
      <c r="B12" s="11"/>
      <c r="D12" s="12" t="s">
        <v>6</v>
      </c>
      <c r="E12" s="12"/>
      <c r="F12" s="15">
        <v>368000.0</v>
      </c>
      <c r="G12" s="14"/>
      <c r="I12" s="11"/>
      <c r="J12" s="12" t="s">
        <v>7</v>
      </c>
      <c r="L12" s="16" t="s">
        <v>8</v>
      </c>
      <c r="M12" s="17"/>
      <c r="N12" s="17"/>
      <c r="O12" s="17"/>
      <c r="P12" s="18"/>
      <c r="Q12" s="14"/>
      <c r="S12" s="4"/>
    </row>
    <row r="13" ht="5.25" customHeight="1">
      <c r="B13" s="11"/>
      <c r="D13" s="12"/>
      <c r="E13" s="12"/>
      <c r="F13" s="19"/>
      <c r="G13" s="14"/>
      <c r="I13" s="11"/>
      <c r="Q13" s="14"/>
      <c r="S13" s="4"/>
    </row>
    <row r="14" ht="15.75" customHeight="1">
      <c r="B14" s="11"/>
      <c r="D14" s="12" t="s">
        <v>9</v>
      </c>
      <c r="E14" s="12"/>
      <c r="F14" s="15">
        <v>18400.0</v>
      </c>
      <c r="G14" s="14"/>
      <c r="I14" s="11"/>
      <c r="J14" s="12" t="s">
        <v>10</v>
      </c>
      <c r="K14" s="12"/>
      <c r="L14" s="12"/>
      <c r="M14" s="12"/>
      <c r="N14" s="14"/>
      <c r="O14" s="20">
        <v>400000.0</v>
      </c>
      <c r="P14" s="18"/>
      <c r="Q14" s="14"/>
      <c r="S14" s="4"/>
    </row>
    <row r="15" ht="5.25" customHeight="1">
      <c r="B15" s="11"/>
      <c r="D15" s="12"/>
      <c r="E15" s="12"/>
      <c r="F15" s="19"/>
      <c r="G15" s="14"/>
      <c r="I15" s="11"/>
      <c r="J15" s="12"/>
      <c r="K15" s="12"/>
      <c r="L15" s="12"/>
      <c r="M15" s="12"/>
      <c r="N15" s="12"/>
      <c r="O15" s="12"/>
      <c r="P15" s="12"/>
      <c r="Q15" s="14"/>
      <c r="S15" s="4"/>
    </row>
    <row r="16" ht="15.75" customHeight="1">
      <c r="B16" s="11"/>
      <c r="D16" s="12" t="s">
        <v>11</v>
      </c>
      <c r="E16" s="12"/>
      <c r="F16" s="15">
        <v>0.0</v>
      </c>
      <c r="G16" s="14"/>
      <c r="I16" s="21"/>
      <c r="J16" s="22"/>
      <c r="K16" s="22"/>
      <c r="L16" s="22"/>
      <c r="M16" s="22"/>
      <c r="N16" s="22"/>
      <c r="O16" s="22"/>
      <c r="P16" s="22"/>
      <c r="Q16" s="23"/>
      <c r="S16" s="4"/>
    </row>
    <row r="17" ht="5.25" customHeight="1">
      <c r="B17" s="11"/>
      <c r="D17" s="12"/>
      <c r="E17" s="12"/>
      <c r="F17" s="19"/>
      <c r="G17" s="14"/>
      <c r="S17" s="4"/>
    </row>
    <row r="18" ht="15.75" customHeight="1">
      <c r="B18" s="11"/>
      <c r="D18" s="12" t="s">
        <v>12</v>
      </c>
      <c r="E18" s="12"/>
      <c r="F18" s="15">
        <v>20000.0</v>
      </c>
      <c r="G18" s="14"/>
      <c r="I18" s="8" t="s">
        <v>13</v>
      </c>
      <c r="J18" s="9"/>
      <c r="K18" s="9"/>
      <c r="L18" s="9"/>
      <c r="M18" s="9"/>
      <c r="N18" s="9"/>
      <c r="O18" s="9"/>
      <c r="P18" s="9"/>
      <c r="Q18" s="10"/>
      <c r="S18" s="4"/>
    </row>
    <row r="19" ht="5.25" customHeight="1">
      <c r="B19" s="11"/>
      <c r="D19" s="12"/>
      <c r="E19" s="12"/>
      <c r="F19" s="19"/>
      <c r="G19" s="14"/>
      <c r="I19" s="11"/>
      <c r="J19" s="12"/>
      <c r="K19" s="12"/>
      <c r="L19" s="22"/>
      <c r="M19" s="12"/>
      <c r="N19" s="12"/>
      <c r="O19" s="12"/>
      <c r="P19" s="12"/>
      <c r="Q19" s="14"/>
      <c r="S19" s="4"/>
    </row>
    <row r="20" ht="15.75" customHeight="1">
      <c r="B20" s="11"/>
      <c r="D20" s="12" t="s">
        <v>14</v>
      </c>
      <c r="E20" s="12"/>
      <c r="F20" s="15">
        <v>5000.0</v>
      </c>
      <c r="G20" s="14"/>
      <c r="I20" s="11"/>
      <c r="J20" s="12" t="s">
        <v>15</v>
      </c>
      <c r="K20" s="14"/>
      <c r="L20" s="24">
        <v>2200.0</v>
      </c>
      <c r="M20" s="12"/>
      <c r="N20" s="25" t="s">
        <v>16</v>
      </c>
      <c r="O20" s="12"/>
      <c r="P20" s="26" t="s">
        <v>17</v>
      </c>
      <c r="Q20" s="14"/>
      <c r="S20" s="4"/>
    </row>
    <row r="21" ht="4.5" customHeight="1">
      <c r="B21" s="11"/>
      <c r="F21" s="27"/>
      <c r="G21" s="14"/>
      <c r="I21" s="11"/>
      <c r="J21" s="12"/>
      <c r="K21" s="12"/>
      <c r="L21" s="28"/>
      <c r="M21" s="13"/>
      <c r="N21" s="13"/>
      <c r="O21" s="12"/>
      <c r="P21" s="12"/>
      <c r="Q21" s="14"/>
      <c r="S21" s="4"/>
    </row>
    <row r="22" ht="15.75" customHeight="1">
      <c r="B22" s="11"/>
      <c r="D22" s="29" t="s">
        <v>18</v>
      </c>
      <c r="F22" s="30">
        <f>F12+F14+F16+F18+F20</f>
        <v>411400</v>
      </c>
      <c r="G22" s="14"/>
      <c r="I22" s="11"/>
      <c r="J22" s="12" t="s">
        <v>19</v>
      </c>
      <c r="K22" s="14"/>
      <c r="L22" s="24">
        <v>11.0</v>
      </c>
      <c r="M22" s="31"/>
      <c r="N22" s="29" t="s">
        <v>20</v>
      </c>
      <c r="O22" s="12"/>
      <c r="P22" s="32">
        <f>L20+L22</f>
        <v>2211</v>
      </c>
      <c r="Q22" s="14"/>
      <c r="S22" s="4"/>
    </row>
    <row r="23" ht="6.0" customHeight="1">
      <c r="A23" s="33"/>
      <c r="B23" s="34"/>
      <c r="C23" s="33"/>
      <c r="D23" s="33"/>
      <c r="E23" s="33"/>
      <c r="F23" s="33"/>
      <c r="G23" s="35"/>
      <c r="I23" s="21"/>
      <c r="J23" s="22"/>
      <c r="K23" s="22"/>
      <c r="L23" s="22"/>
      <c r="M23" s="22"/>
      <c r="N23" s="22"/>
      <c r="O23" s="22"/>
      <c r="P23" s="22"/>
      <c r="Q23" s="23"/>
      <c r="S23" s="4"/>
    </row>
    <row r="24" ht="6.75" customHeight="1">
      <c r="B24" s="36"/>
      <c r="C24" s="36"/>
      <c r="D24" s="36"/>
      <c r="E24" s="36"/>
      <c r="F24" s="36"/>
      <c r="G24" s="36"/>
      <c r="S24" s="4"/>
    </row>
    <row r="25" ht="15.75" customHeight="1">
      <c r="B25" s="8" t="s">
        <v>21</v>
      </c>
      <c r="C25" s="9"/>
      <c r="D25" s="9"/>
      <c r="E25" s="9"/>
      <c r="F25" s="9"/>
      <c r="G25" s="10"/>
      <c r="I25" s="8" t="s">
        <v>22</v>
      </c>
      <c r="J25" s="9"/>
      <c r="K25" s="9"/>
      <c r="L25" s="9"/>
      <c r="M25" s="9"/>
      <c r="N25" s="9"/>
      <c r="O25" s="9"/>
      <c r="P25" s="9"/>
      <c r="Q25" s="10"/>
      <c r="S25" s="4"/>
    </row>
    <row r="26" ht="15.75" customHeight="1">
      <c r="B26" s="11"/>
      <c r="G26" s="14"/>
      <c r="I26" s="11"/>
      <c r="Q26" s="14"/>
      <c r="S26" s="4"/>
    </row>
    <row r="27" ht="15.75" customHeight="1">
      <c r="B27" s="11"/>
      <c r="D27" s="12" t="s">
        <v>23</v>
      </c>
      <c r="E27" s="37" t="s">
        <v>24</v>
      </c>
      <c r="F27" s="18"/>
      <c r="G27" s="14"/>
      <c r="I27" s="11"/>
      <c r="J27" s="12" t="s">
        <v>25</v>
      </c>
      <c r="L27" s="32">
        <f>F40</f>
        <v>1671.57082</v>
      </c>
      <c r="M27" s="29"/>
      <c r="N27" s="12" t="s">
        <v>26</v>
      </c>
      <c r="P27" s="38">
        <v>0.02</v>
      </c>
      <c r="Q27" s="39">
        <f>P27*L20</f>
        <v>44</v>
      </c>
      <c r="S27" s="4"/>
    </row>
    <row r="28" ht="6.0" customHeight="1">
      <c r="B28" s="11"/>
      <c r="D28" s="12"/>
      <c r="E28" s="12"/>
      <c r="F28" s="13"/>
      <c r="G28" s="14"/>
      <c r="I28" s="11"/>
      <c r="M28" s="13"/>
      <c r="Q28" s="14"/>
      <c r="S28" s="4"/>
    </row>
    <row r="29" ht="15.75" customHeight="1">
      <c r="B29" s="11"/>
      <c r="D29" s="12" t="s">
        <v>27</v>
      </c>
      <c r="E29" s="12"/>
      <c r="F29" s="40">
        <v>0.2</v>
      </c>
      <c r="G29" s="14"/>
      <c r="I29" s="11"/>
      <c r="J29" s="12" t="s">
        <v>28</v>
      </c>
      <c r="L29" s="41">
        <v>123.0</v>
      </c>
      <c r="M29" s="31"/>
      <c r="N29" s="12" t="s">
        <v>29</v>
      </c>
      <c r="P29" s="41">
        <v>0.0</v>
      </c>
      <c r="Q29" s="14"/>
      <c r="S29" s="4"/>
    </row>
    <row r="30" ht="6.0" customHeight="1">
      <c r="B30" s="11"/>
      <c r="D30" s="12"/>
      <c r="E30" s="12"/>
      <c r="F30" s="12"/>
      <c r="G30" s="14"/>
      <c r="I30" s="11"/>
      <c r="L30" s="27"/>
      <c r="Q30" s="14"/>
      <c r="S30" s="4"/>
    </row>
    <row r="31" ht="15.75" customHeight="1">
      <c r="B31" s="11"/>
      <c r="D31" s="29" t="s">
        <v>30</v>
      </c>
      <c r="F31" s="32">
        <f>F12*(1-F29)</f>
        <v>294400</v>
      </c>
      <c r="G31" s="14"/>
      <c r="I31" s="11"/>
      <c r="J31" s="12" t="s">
        <v>31</v>
      </c>
      <c r="K31" s="29"/>
      <c r="L31" s="41">
        <v>131.0</v>
      </c>
      <c r="M31" s="29"/>
      <c r="N31" s="12" t="s">
        <v>32</v>
      </c>
      <c r="O31" s="29"/>
      <c r="P31" s="42">
        <v>0.05</v>
      </c>
      <c r="Q31" s="39">
        <f>P31*L20</f>
        <v>110</v>
      </c>
      <c r="S31" s="4"/>
    </row>
    <row r="32" ht="6.0" customHeight="1">
      <c r="B32" s="11"/>
      <c r="G32" s="14"/>
      <c r="I32" s="11"/>
      <c r="L32" s="27"/>
      <c r="Q32" s="14"/>
      <c r="S32" s="4"/>
    </row>
    <row r="33" ht="15.75" customHeight="1">
      <c r="B33" s="11"/>
      <c r="D33" s="12" t="s">
        <v>33</v>
      </c>
      <c r="E33" s="12"/>
      <c r="F33" s="40">
        <v>0.055</v>
      </c>
      <c r="G33" s="14"/>
      <c r="I33" s="11"/>
      <c r="J33" s="12" t="s">
        <v>34</v>
      </c>
      <c r="L33" s="41">
        <v>0.0</v>
      </c>
      <c r="M33" s="31"/>
      <c r="N33" s="12" t="s">
        <v>35</v>
      </c>
      <c r="P33" s="42">
        <v>0.02</v>
      </c>
      <c r="Q33" s="39">
        <f>L20*P33</f>
        <v>44</v>
      </c>
      <c r="S33" s="4"/>
    </row>
    <row r="34" ht="6.0" customHeight="1">
      <c r="B34" s="11"/>
      <c r="D34" s="12"/>
      <c r="E34" s="12"/>
      <c r="F34" s="12"/>
      <c r="G34" s="14"/>
      <c r="I34" s="11"/>
      <c r="L34" s="27"/>
      <c r="Q34" s="14"/>
      <c r="S34" s="4"/>
    </row>
    <row r="35" ht="15.75" customHeight="1">
      <c r="B35" s="11"/>
      <c r="D35" s="12" t="s">
        <v>36</v>
      </c>
      <c r="E35" s="12"/>
      <c r="F35" s="43">
        <v>30.0</v>
      </c>
      <c r="G35" s="14"/>
      <c r="I35" s="11"/>
      <c r="J35" s="12" t="s">
        <v>37</v>
      </c>
      <c r="L35" s="41">
        <v>11.0</v>
      </c>
      <c r="M35" s="44"/>
      <c r="N35" s="12" t="s">
        <v>38</v>
      </c>
      <c r="P35" s="41"/>
      <c r="Q35" s="14"/>
      <c r="S35" s="4"/>
    </row>
    <row r="36" ht="6.0" customHeight="1">
      <c r="B36" s="11"/>
      <c r="G36" s="14"/>
      <c r="I36" s="11"/>
      <c r="L36" s="27"/>
      <c r="P36" s="27"/>
      <c r="Q36" s="14"/>
      <c r="S36" s="4"/>
    </row>
    <row r="37" ht="15.75" customHeight="1">
      <c r="B37" s="11"/>
      <c r="D37" s="12" t="s">
        <v>39</v>
      </c>
      <c r="F37" s="45" t="s">
        <v>17</v>
      </c>
      <c r="G37" s="14"/>
      <c r="I37" s="11"/>
      <c r="J37" s="12" t="s">
        <v>40</v>
      </c>
      <c r="L37" s="46" t="str">
        <f>'Ignore This'!L4</f>
        <v>$0</v>
      </c>
      <c r="M37" s="47"/>
      <c r="N37" s="12" t="s">
        <v>41</v>
      </c>
      <c r="P37" s="41">
        <v>0.0</v>
      </c>
      <c r="Q37" s="14"/>
      <c r="S37" s="4"/>
    </row>
    <row r="38" ht="6.75" customHeight="1">
      <c r="B38" s="11"/>
      <c r="D38" s="29"/>
      <c r="F38" s="48"/>
      <c r="G38" s="14"/>
      <c r="I38" s="11"/>
      <c r="P38" s="27"/>
      <c r="Q38" s="14"/>
      <c r="S38" s="4"/>
    </row>
    <row r="39" ht="15.75" customHeight="1">
      <c r="B39" s="11"/>
      <c r="D39" s="29" t="s">
        <v>42</v>
      </c>
      <c r="F39" s="49">
        <f>F12*F29+F14+F16+F18+F20</f>
        <v>117000</v>
      </c>
      <c r="G39" s="14"/>
      <c r="I39" s="11"/>
      <c r="J39" s="12" t="s">
        <v>43</v>
      </c>
      <c r="L39" s="50">
        <v>0.0</v>
      </c>
      <c r="M39" s="51">
        <f>L39*L20</f>
        <v>0</v>
      </c>
      <c r="N39" s="12" t="s">
        <v>44</v>
      </c>
      <c r="P39" s="41"/>
      <c r="Q39" s="14"/>
      <c r="S39" s="4"/>
    </row>
    <row r="40" ht="15.75" customHeight="1">
      <c r="B40" s="34"/>
      <c r="C40" s="33"/>
      <c r="D40" s="29" t="s">
        <v>45</v>
      </c>
      <c r="E40" s="12"/>
      <c r="F40" s="52">
        <f>PMT(F33/12,F35*12,-F31)</f>
        <v>1671.57082</v>
      </c>
      <c r="G40" s="35"/>
      <c r="I40" s="34"/>
      <c r="J40" s="33"/>
      <c r="K40" s="33"/>
      <c r="L40" s="48"/>
      <c r="M40" s="33"/>
      <c r="N40" s="33"/>
      <c r="O40" s="33"/>
      <c r="P40" s="33"/>
      <c r="Q40" s="35"/>
      <c r="S40" s="4"/>
    </row>
    <row r="41" ht="15.75" customHeight="1">
      <c r="B41" s="11"/>
      <c r="D41" s="29"/>
      <c r="F41" s="48"/>
      <c r="G41" s="14"/>
      <c r="I41" s="11"/>
      <c r="N41" s="53"/>
      <c r="O41" s="54"/>
      <c r="P41" s="54"/>
      <c r="Q41" s="14"/>
      <c r="S41" s="4"/>
    </row>
    <row r="42" ht="15.75" customHeight="1">
      <c r="B42" s="21"/>
      <c r="C42" s="22"/>
      <c r="D42" s="55"/>
      <c r="E42" s="22"/>
      <c r="F42" s="56"/>
      <c r="G42" s="23"/>
      <c r="I42" s="21"/>
      <c r="J42" s="22"/>
      <c r="K42" s="22"/>
      <c r="L42" s="22"/>
      <c r="M42" s="22"/>
      <c r="N42" s="22"/>
      <c r="O42" s="22"/>
      <c r="P42" s="22"/>
      <c r="Q42" s="23"/>
    </row>
    <row r="43" ht="15.75" customHeight="1">
      <c r="D43" s="57"/>
      <c r="F43" s="48"/>
      <c r="T43" s="58"/>
      <c r="U43" s="27"/>
    </row>
    <row r="44" ht="15.75" customHeight="1">
      <c r="B44" s="59" t="s">
        <v>46</v>
      </c>
      <c r="C44" s="9"/>
      <c r="D44" s="9"/>
      <c r="E44" s="9"/>
      <c r="F44" s="9"/>
      <c r="G44" s="10"/>
      <c r="H44" s="60"/>
      <c r="I44" s="59" t="s">
        <v>47</v>
      </c>
      <c r="J44" s="9"/>
      <c r="K44" s="9"/>
      <c r="L44" s="9"/>
      <c r="M44" s="9"/>
      <c r="N44" s="9"/>
      <c r="O44" s="9"/>
      <c r="P44" s="9"/>
      <c r="Q44" s="10"/>
      <c r="S44" s="61" t="s">
        <v>48</v>
      </c>
      <c r="T44" s="62"/>
      <c r="U44" s="63"/>
      <c r="V44" s="62"/>
      <c r="W44" s="62"/>
      <c r="X44" s="62"/>
    </row>
    <row r="45" ht="15.75" customHeight="1">
      <c r="B45" s="64"/>
      <c r="C45" s="65"/>
      <c r="D45" s="65"/>
      <c r="E45" s="65"/>
      <c r="F45" s="66"/>
      <c r="G45" s="67"/>
      <c r="I45" s="68"/>
      <c r="J45" s="69"/>
      <c r="K45" s="69"/>
      <c r="L45" s="69"/>
      <c r="M45" s="69"/>
      <c r="N45" s="69"/>
      <c r="O45" s="69"/>
      <c r="P45" s="69"/>
      <c r="Q45" s="70"/>
      <c r="S45" s="71"/>
      <c r="T45" s="3"/>
      <c r="U45" s="3"/>
      <c r="V45" s="3"/>
      <c r="W45" s="3"/>
      <c r="X45" s="3"/>
    </row>
    <row r="46" ht="18.75" customHeight="1">
      <c r="B46" s="72"/>
      <c r="C46" s="73"/>
      <c r="D46" s="74" t="s">
        <v>20</v>
      </c>
      <c r="E46" s="73"/>
      <c r="F46" s="75">
        <f>E65</f>
        <v>2100.45</v>
      </c>
      <c r="G46" s="76"/>
      <c r="I46" s="77"/>
      <c r="J46" s="78" t="s">
        <v>49</v>
      </c>
      <c r="K46" s="78"/>
      <c r="L46" s="40">
        <v>0.02</v>
      </c>
      <c r="M46" s="78"/>
      <c r="N46" s="12" t="s">
        <v>50</v>
      </c>
      <c r="P46" s="40">
        <v>0.05</v>
      </c>
      <c r="Q46" s="79"/>
      <c r="S46" s="4"/>
    </row>
    <row r="47" ht="3.0" customHeight="1">
      <c r="B47" s="72"/>
      <c r="C47" s="73"/>
      <c r="D47" s="80"/>
      <c r="E47" s="73"/>
      <c r="F47" s="81"/>
      <c r="G47" s="76"/>
      <c r="I47" s="77"/>
      <c r="J47" s="78"/>
      <c r="K47" s="78"/>
      <c r="L47" s="78"/>
      <c r="M47" s="78"/>
      <c r="N47" s="78"/>
      <c r="O47" s="78"/>
      <c r="P47" s="78"/>
      <c r="Q47" s="79"/>
      <c r="S47" s="4"/>
    </row>
    <row r="48" ht="15.75" customHeight="1">
      <c r="B48" s="72"/>
      <c r="C48" s="73"/>
      <c r="D48" s="74" t="s">
        <v>51</v>
      </c>
      <c r="E48" s="73"/>
      <c r="F48" s="75">
        <f>E80</f>
        <v>2020.58882</v>
      </c>
      <c r="G48" s="76"/>
      <c r="I48" s="77"/>
      <c r="J48" s="78" t="s">
        <v>52</v>
      </c>
      <c r="K48" s="78"/>
      <c r="L48" s="40">
        <v>0.03</v>
      </c>
      <c r="M48" s="78"/>
      <c r="N48" s="78" t="s">
        <v>53</v>
      </c>
      <c r="O48" s="78"/>
      <c r="P48" s="40">
        <v>0.06</v>
      </c>
      <c r="Q48" s="79"/>
      <c r="S48" s="4"/>
    </row>
    <row r="49" ht="3.75" customHeight="1">
      <c r="B49" s="72"/>
      <c r="C49" s="73"/>
      <c r="D49" s="73"/>
      <c r="E49" s="73"/>
      <c r="F49" s="81"/>
      <c r="G49" s="76"/>
      <c r="I49" s="77"/>
      <c r="J49" s="78"/>
      <c r="K49" s="78"/>
      <c r="L49" s="82">
        <f>H13*(1+'Enter Data Here'!$L$48)</f>
        <v>0</v>
      </c>
      <c r="M49" s="78"/>
      <c r="N49" s="78"/>
      <c r="O49" s="78"/>
      <c r="P49" s="78"/>
      <c r="Q49" s="79"/>
      <c r="S49" s="4"/>
    </row>
    <row r="50" ht="15.75" customHeight="1">
      <c r="B50" s="72"/>
      <c r="C50" s="73"/>
      <c r="D50" s="74" t="s">
        <v>54</v>
      </c>
      <c r="E50" s="73"/>
      <c r="F50" s="75">
        <f>E82</f>
        <v>79.86118003</v>
      </c>
      <c r="G50" s="76"/>
      <c r="I50" s="77"/>
      <c r="J50" s="78" t="s">
        <v>55</v>
      </c>
      <c r="K50" s="78"/>
      <c r="L50" s="40">
        <v>0.02</v>
      </c>
      <c r="M50" s="78"/>
      <c r="N50" s="78"/>
      <c r="O50" s="78"/>
      <c r="P50" s="78"/>
      <c r="Q50" s="79"/>
      <c r="S50" s="4"/>
    </row>
    <row r="51" ht="5.25" customHeight="1">
      <c r="B51" s="72"/>
      <c r="C51" s="73"/>
      <c r="D51" s="73"/>
      <c r="E51" s="73"/>
      <c r="F51" s="81"/>
      <c r="G51" s="76"/>
      <c r="I51" s="77"/>
      <c r="M51" s="78"/>
      <c r="N51" s="78"/>
      <c r="O51" s="78"/>
      <c r="P51" s="78"/>
      <c r="Q51" s="79"/>
      <c r="S51" s="4"/>
    </row>
    <row r="52" ht="15.75" customHeight="1">
      <c r="B52" s="72"/>
      <c r="C52" s="73"/>
      <c r="D52" s="74" t="s">
        <v>56</v>
      </c>
      <c r="E52" s="73"/>
      <c r="F52" s="75">
        <f>F82</f>
        <v>958.3341604</v>
      </c>
      <c r="G52" s="76"/>
      <c r="I52" s="77"/>
      <c r="M52" s="78"/>
      <c r="N52" s="78"/>
      <c r="O52" s="78"/>
      <c r="P52" s="78"/>
      <c r="Q52" s="79"/>
      <c r="S52" s="4"/>
    </row>
    <row r="53" ht="5.25" customHeight="1">
      <c r="B53" s="72"/>
      <c r="C53" s="73"/>
      <c r="D53" s="74"/>
      <c r="E53" s="73"/>
      <c r="F53" s="83"/>
      <c r="G53" s="76"/>
      <c r="I53" s="77"/>
      <c r="J53" s="84"/>
      <c r="K53" s="78"/>
      <c r="L53" s="78"/>
      <c r="M53" s="78"/>
      <c r="N53" s="78"/>
      <c r="O53" s="78"/>
      <c r="P53" s="78"/>
      <c r="Q53" s="79"/>
      <c r="S53" s="4"/>
    </row>
    <row r="54" ht="15.75" customHeight="1">
      <c r="B54" s="72"/>
      <c r="C54" s="73"/>
      <c r="D54" s="74" t="s">
        <v>57</v>
      </c>
      <c r="E54" s="73"/>
      <c r="F54" s="85">
        <f>F83</f>
        <v>0.00819089026</v>
      </c>
      <c r="G54" s="76"/>
      <c r="I54" s="77"/>
      <c r="K54" s="78"/>
      <c r="L54" s="78"/>
      <c r="M54" s="78"/>
      <c r="N54" s="84" t="s">
        <v>58</v>
      </c>
      <c r="O54" s="78"/>
      <c r="P54" s="78"/>
      <c r="Q54" s="79"/>
      <c r="S54" s="4"/>
    </row>
    <row r="55" ht="15.75" customHeight="1">
      <c r="B55" s="86"/>
      <c r="C55" s="87"/>
      <c r="D55" s="87"/>
      <c r="E55" s="87"/>
      <c r="F55" s="88"/>
      <c r="G55" s="89"/>
      <c r="I55" s="90"/>
      <c r="J55" s="91"/>
      <c r="K55" s="91"/>
      <c r="L55" s="91"/>
      <c r="M55" s="91"/>
      <c r="N55" s="91"/>
      <c r="O55" s="91"/>
      <c r="P55" s="91"/>
      <c r="Q55" s="92"/>
      <c r="S55" s="4"/>
    </row>
    <row r="56" ht="15.75" customHeight="1">
      <c r="S56" s="4"/>
    </row>
    <row r="57" ht="15.75" customHeight="1">
      <c r="B57" s="93"/>
      <c r="C57" s="94"/>
      <c r="D57" s="94"/>
      <c r="E57" s="94"/>
      <c r="F57" s="94"/>
      <c r="G57" s="94"/>
      <c r="H57" s="94"/>
      <c r="I57" s="94"/>
      <c r="J57" s="94"/>
      <c r="K57" s="94"/>
      <c r="L57" s="94"/>
      <c r="M57" s="94"/>
      <c r="N57" s="94"/>
      <c r="O57" s="94"/>
      <c r="P57" s="94"/>
      <c r="Q57" s="94"/>
      <c r="S57" s="4"/>
    </row>
    <row r="58" ht="15.75" customHeight="1">
      <c r="S58" s="4"/>
    </row>
    <row r="59" ht="15.75" customHeight="1">
      <c r="C59" s="95"/>
      <c r="D59" s="96" t="s">
        <v>59</v>
      </c>
      <c r="E59" s="97"/>
      <c r="F59" s="98"/>
      <c r="J59" s="99" t="s">
        <v>60</v>
      </c>
      <c r="K59" s="100"/>
      <c r="L59" s="100"/>
      <c r="M59" s="100"/>
      <c r="N59" s="100"/>
      <c r="O59" s="100"/>
      <c r="P59" s="101"/>
      <c r="S59" s="4"/>
    </row>
    <row r="60" ht="15.75" customHeight="1">
      <c r="C60" s="102"/>
      <c r="D60" s="103"/>
      <c r="E60" s="103"/>
      <c r="F60" s="104"/>
      <c r="J60" s="105"/>
      <c r="K60" s="106"/>
      <c r="L60" s="106"/>
      <c r="M60" s="106"/>
      <c r="N60" s="106"/>
      <c r="O60" s="106"/>
      <c r="P60" s="107"/>
      <c r="S60" s="4"/>
    </row>
    <row r="61" ht="15.75" customHeight="1">
      <c r="C61" s="102"/>
      <c r="D61" s="108"/>
      <c r="E61" s="109" t="s">
        <v>61</v>
      </c>
      <c r="F61" s="110" t="s">
        <v>62</v>
      </c>
      <c r="S61" s="4"/>
    </row>
    <row r="62" ht="15.75" customHeight="1">
      <c r="C62" s="111"/>
      <c r="D62" s="112" t="s">
        <v>63</v>
      </c>
      <c r="E62" s="113">
        <f>L20</f>
        <v>2200</v>
      </c>
      <c r="F62" s="114">
        <f t="shared" ref="F62:F64" si="1">E62*12</f>
        <v>26400</v>
      </c>
      <c r="S62" s="4"/>
    </row>
    <row r="63" ht="15.75" customHeight="1">
      <c r="C63" s="111"/>
      <c r="D63" s="115" t="s">
        <v>64</v>
      </c>
      <c r="E63" s="116">
        <f>L22</f>
        <v>11</v>
      </c>
      <c r="F63" s="117">
        <f t="shared" si="1"/>
        <v>132</v>
      </c>
      <c r="S63" s="4"/>
    </row>
    <row r="64" ht="15.75" customHeight="1">
      <c r="C64" s="111"/>
      <c r="D64" s="118" t="s">
        <v>65</v>
      </c>
      <c r="E64" s="119">
        <f>-P31*(L20+L22)</f>
        <v>-110.55</v>
      </c>
      <c r="F64" s="120">
        <f t="shared" si="1"/>
        <v>-1326.6</v>
      </c>
      <c r="S64" s="4"/>
    </row>
    <row r="65" ht="15.75" customHeight="1">
      <c r="C65" s="111"/>
      <c r="D65" s="121" t="s">
        <v>66</v>
      </c>
      <c r="E65" s="122">
        <f t="shared" ref="E65:F65" si="2">SUM(E62:E64)</f>
        <v>2100.45</v>
      </c>
      <c r="F65" s="123">
        <f t="shared" si="2"/>
        <v>25205.4</v>
      </c>
      <c r="S65" s="4"/>
    </row>
    <row r="66" ht="15.75" customHeight="1">
      <c r="C66" s="111"/>
      <c r="D66" s="124"/>
      <c r="E66" s="113"/>
      <c r="F66" s="114"/>
      <c r="S66" s="4"/>
    </row>
    <row r="67" ht="15.75" customHeight="1">
      <c r="C67" s="111"/>
      <c r="D67" s="115" t="s">
        <v>67</v>
      </c>
      <c r="E67" s="116">
        <f>L27</f>
        <v>1671.57082</v>
      </c>
      <c r="F67" s="117">
        <f t="shared" ref="F67:F80" si="3">E67*12</f>
        <v>20058.84984</v>
      </c>
      <c r="S67" s="4"/>
    </row>
    <row r="68" ht="13.5" customHeight="1">
      <c r="C68" s="111"/>
      <c r="D68" s="112" t="s">
        <v>68</v>
      </c>
      <c r="E68" s="113">
        <f>L29</f>
        <v>123</v>
      </c>
      <c r="F68" s="114">
        <f t="shared" si="3"/>
        <v>1476</v>
      </c>
      <c r="S68" s="4"/>
    </row>
    <row r="69" ht="13.5" customHeight="1">
      <c r="C69" s="111"/>
      <c r="D69" s="115" t="s">
        <v>69</v>
      </c>
      <c r="E69" s="116">
        <f>L31</f>
        <v>131</v>
      </c>
      <c r="F69" s="117">
        <f t="shared" si="3"/>
        <v>1572</v>
      </c>
      <c r="S69" s="4"/>
    </row>
    <row r="70" ht="13.5" customHeight="1">
      <c r="C70" s="111"/>
      <c r="D70" s="112" t="s">
        <v>70</v>
      </c>
      <c r="E70" s="113">
        <f>L33</f>
        <v>0</v>
      </c>
      <c r="F70" s="114">
        <f t="shared" si="3"/>
        <v>0</v>
      </c>
      <c r="S70" s="4"/>
    </row>
    <row r="71" ht="13.5" customHeight="1">
      <c r="C71" s="111"/>
      <c r="D71" s="115" t="s">
        <v>71</v>
      </c>
      <c r="E71" s="116">
        <f>L35</f>
        <v>11</v>
      </c>
      <c r="F71" s="117">
        <f t="shared" si="3"/>
        <v>132</v>
      </c>
      <c r="S71" s="4"/>
    </row>
    <row r="72" ht="13.5" customHeight="1">
      <c r="C72" s="111"/>
      <c r="D72" s="112" t="s">
        <v>72</v>
      </c>
      <c r="E72" s="113" t="str">
        <f>L37</f>
        <v>$0</v>
      </c>
      <c r="F72" s="125">
        <f t="shared" si="3"/>
        <v>0</v>
      </c>
      <c r="S72" s="4"/>
    </row>
    <row r="73" ht="13.5" customHeight="1">
      <c r="C73" s="111"/>
      <c r="D73" s="115" t="s">
        <v>73</v>
      </c>
      <c r="E73" s="116">
        <f>E65*L39</f>
        <v>0</v>
      </c>
      <c r="F73" s="117">
        <f t="shared" si="3"/>
        <v>0</v>
      </c>
      <c r="S73" s="4"/>
    </row>
    <row r="74" ht="13.5" customHeight="1">
      <c r="C74" s="111"/>
      <c r="D74" s="112" t="s">
        <v>74</v>
      </c>
      <c r="E74" s="113">
        <f>P27*E65</f>
        <v>42.009</v>
      </c>
      <c r="F74" s="114">
        <f t="shared" si="3"/>
        <v>504.108</v>
      </c>
      <c r="S74" s="4"/>
    </row>
    <row r="75" ht="13.5" customHeight="1">
      <c r="B75" s="126"/>
      <c r="C75" s="111"/>
      <c r="D75" s="115" t="s">
        <v>75</v>
      </c>
      <c r="E75" s="116">
        <f>P29</f>
        <v>0</v>
      </c>
      <c r="F75" s="117">
        <f t="shared" si="3"/>
        <v>0</v>
      </c>
      <c r="G75" s="78"/>
      <c r="H75" s="78"/>
      <c r="I75" s="78"/>
      <c r="O75" s="78"/>
      <c r="P75" s="78"/>
      <c r="Q75" s="78"/>
      <c r="S75" s="4"/>
    </row>
    <row r="76" ht="13.5" customHeight="1">
      <c r="B76" s="126"/>
      <c r="C76" s="111"/>
      <c r="D76" s="112" t="s">
        <v>76</v>
      </c>
      <c r="E76" s="113">
        <f>P33*E65</f>
        <v>42.009</v>
      </c>
      <c r="F76" s="114">
        <f t="shared" si="3"/>
        <v>504.108</v>
      </c>
      <c r="G76" s="78"/>
      <c r="H76" s="78"/>
      <c r="I76" s="78"/>
      <c r="O76" s="78"/>
      <c r="P76" s="78"/>
      <c r="Q76" s="78"/>
      <c r="S76" s="4"/>
    </row>
    <row r="77" ht="13.5" customHeight="1">
      <c r="B77" s="126"/>
      <c r="C77" s="111"/>
      <c r="D77" s="115" t="s">
        <v>77</v>
      </c>
      <c r="E77" s="116" t="str">
        <f>P35</f>
        <v/>
      </c>
      <c r="F77" s="117">
        <f t="shared" si="3"/>
        <v>0</v>
      </c>
      <c r="G77" s="78"/>
      <c r="H77" s="78"/>
      <c r="I77" s="78"/>
      <c r="J77" s="78"/>
      <c r="K77" s="78"/>
      <c r="L77" s="78"/>
      <c r="M77" s="78"/>
      <c r="N77" s="78"/>
      <c r="O77" s="78"/>
      <c r="P77" s="78"/>
      <c r="Q77" s="78"/>
      <c r="S77" s="4"/>
    </row>
    <row r="78" ht="13.5" customHeight="1">
      <c r="B78" s="126"/>
      <c r="C78" s="111"/>
      <c r="D78" s="112" t="s">
        <v>78</v>
      </c>
      <c r="E78" s="113">
        <f>P37</f>
        <v>0</v>
      </c>
      <c r="F78" s="114">
        <f t="shared" si="3"/>
        <v>0</v>
      </c>
      <c r="G78" s="78"/>
      <c r="H78" s="78"/>
      <c r="I78" s="78"/>
      <c r="J78" s="127" t="s">
        <v>79</v>
      </c>
      <c r="K78" s="100"/>
      <c r="L78" s="100"/>
      <c r="M78" s="100"/>
      <c r="N78" s="100"/>
      <c r="O78" s="100"/>
      <c r="P78" s="101"/>
      <c r="Q78" s="78"/>
      <c r="S78" s="4"/>
    </row>
    <row r="79" ht="13.5" customHeight="1">
      <c r="B79" s="126"/>
      <c r="C79" s="111"/>
      <c r="D79" s="115" t="s">
        <v>80</v>
      </c>
      <c r="E79" s="116" t="str">
        <f>P39</f>
        <v/>
      </c>
      <c r="F79" s="117">
        <f t="shared" si="3"/>
        <v>0</v>
      </c>
      <c r="G79" s="78"/>
      <c r="H79" s="78"/>
      <c r="I79" s="78"/>
      <c r="J79" s="105"/>
      <c r="K79" s="106"/>
      <c r="L79" s="106"/>
      <c r="M79" s="106"/>
      <c r="N79" s="106"/>
      <c r="O79" s="106"/>
      <c r="P79" s="107"/>
      <c r="Q79" s="78"/>
      <c r="S79" s="4"/>
    </row>
    <row r="80" ht="13.5" customHeight="1">
      <c r="B80" s="126"/>
      <c r="C80" s="111"/>
      <c r="D80" s="128" t="s">
        <v>81</v>
      </c>
      <c r="E80" s="129">
        <f>SUM(E67:E79)</f>
        <v>2020.58882</v>
      </c>
      <c r="F80" s="130">
        <f t="shared" si="3"/>
        <v>24247.06584</v>
      </c>
      <c r="G80" s="78"/>
      <c r="H80" s="78"/>
      <c r="I80" s="78"/>
      <c r="J80" s="78"/>
      <c r="K80" s="78"/>
      <c r="L80" s="78"/>
      <c r="M80" s="78"/>
      <c r="N80" s="78"/>
      <c r="O80" s="78"/>
      <c r="P80" s="78"/>
      <c r="Q80" s="78"/>
      <c r="S80" s="4"/>
    </row>
    <row r="81" ht="15.75" customHeight="1">
      <c r="B81" s="126"/>
      <c r="C81" s="111"/>
      <c r="D81" s="131"/>
      <c r="E81" s="132"/>
      <c r="F81" s="133"/>
      <c r="G81" s="78"/>
      <c r="H81" s="78"/>
      <c r="I81" s="78"/>
      <c r="J81" s="78"/>
      <c r="K81" s="78"/>
      <c r="L81" s="78"/>
      <c r="M81" s="78"/>
      <c r="N81" s="78"/>
      <c r="O81" s="78"/>
      <c r="P81" s="78"/>
      <c r="Q81" s="78"/>
      <c r="S81" s="4"/>
    </row>
    <row r="82" ht="15.75" customHeight="1">
      <c r="B82" s="126"/>
      <c r="C82" s="111"/>
      <c r="D82" s="134" t="s">
        <v>82</v>
      </c>
      <c r="E82" s="135">
        <f>E65-E80</f>
        <v>79.86118003</v>
      </c>
      <c r="F82" s="136">
        <f>E82*12</f>
        <v>958.3341604</v>
      </c>
      <c r="G82" s="78"/>
      <c r="H82" s="78"/>
      <c r="I82" s="78"/>
      <c r="J82" s="82"/>
      <c r="K82" s="78"/>
      <c r="L82" s="78"/>
      <c r="M82" s="78"/>
      <c r="N82" s="78"/>
      <c r="O82" s="78"/>
      <c r="P82" s="78"/>
      <c r="Q82" s="78"/>
      <c r="S82" s="4"/>
    </row>
    <row r="83" ht="15.75" customHeight="1">
      <c r="B83" s="126"/>
      <c r="C83" s="105"/>
      <c r="D83" s="137" t="s">
        <v>83</v>
      </c>
      <c r="E83" s="88"/>
      <c r="F83" s="138">
        <f>F82/F39</f>
        <v>0.00819089026</v>
      </c>
      <c r="G83" s="78"/>
      <c r="H83" s="78"/>
      <c r="I83" s="78"/>
      <c r="K83" s="78"/>
      <c r="L83" s="78"/>
      <c r="M83" s="78"/>
      <c r="N83" s="78"/>
      <c r="O83" s="78"/>
      <c r="P83" s="78"/>
      <c r="Q83" s="78"/>
      <c r="S83" s="4"/>
    </row>
    <row r="84" ht="15.75" customHeight="1">
      <c r="B84" s="78"/>
      <c r="G84" s="78"/>
      <c r="H84" s="78"/>
      <c r="I84" s="78"/>
      <c r="J84" s="78"/>
      <c r="K84" s="78"/>
      <c r="L84" s="78"/>
      <c r="M84" s="78"/>
      <c r="N84" s="78"/>
      <c r="O84" s="78"/>
      <c r="P84" s="78"/>
      <c r="Q84" s="78"/>
      <c r="S84" s="4"/>
    </row>
    <row r="85" ht="15.75" customHeight="1">
      <c r="B85" s="78"/>
      <c r="C85" s="78"/>
      <c r="D85" s="91"/>
      <c r="E85" s="91"/>
      <c r="F85" s="91"/>
      <c r="G85" s="78"/>
      <c r="H85" s="78"/>
      <c r="I85" s="78"/>
      <c r="J85" s="78"/>
      <c r="K85" s="78"/>
      <c r="L85" s="78"/>
      <c r="M85" s="78"/>
      <c r="N85" s="78"/>
      <c r="O85" s="78"/>
      <c r="P85" s="78"/>
      <c r="Q85" s="78"/>
      <c r="S85" s="4"/>
    </row>
    <row r="86" ht="15.75" customHeight="1">
      <c r="B86" s="78"/>
      <c r="C86" s="139" t="s">
        <v>84</v>
      </c>
      <c r="D86" s="17"/>
      <c r="E86" s="17"/>
      <c r="F86" s="18"/>
      <c r="G86" s="78"/>
      <c r="H86" s="78"/>
      <c r="I86" s="78"/>
      <c r="J86" s="78"/>
      <c r="K86" s="78"/>
      <c r="L86" s="78"/>
      <c r="M86" s="78"/>
      <c r="N86" s="78"/>
      <c r="O86" s="78"/>
      <c r="P86" s="78"/>
      <c r="Q86" s="78"/>
      <c r="S86" s="4"/>
    </row>
    <row r="87" ht="15.75" customHeight="1">
      <c r="B87" s="78"/>
      <c r="C87" s="77"/>
      <c r="D87" s="78"/>
      <c r="E87" s="78"/>
      <c r="F87" s="140"/>
      <c r="G87" s="78"/>
      <c r="H87" s="78"/>
      <c r="I87" s="78"/>
      <c r="J87" s="78"/>
      <c r="K87" s="78"/>
      <c r="L87" s="78"/>
      <c r="M87" s="78"/>
      <c r="N87" s="78"/>
      <c r="O87" s="78"/>
      <c r="P87" s="78"/>
      <c r="Q87" s="78"/>
      <c r="S87" s="4"/>
    </row>
    <row r="88" ht="15.75" customHeight="1">
      <c r="B88" s="78"/>
      <c r="C88" s="141" t="s">
        <v>85</v>
      </c>
      <c r="D88" s="142" t="s">
        <v>86</v>
      </c>
      <c r="E88" s="142" t="s">
        <v>87</v>
      </c>
      <c r="F88" s="143" t="s">
        <v>88</v>
      </c>
      <c r="G88" s="78"/>
      <c r="H88" s="78"/>
      <c r="I88" s="78"/>
      <c r="J88" s="78"/>
      <c r="K88" s="78"/>
      <c r="L88" s="78"/>
      <c r="M88" s="78"/>
      <c r="N88" s="78"/>
      <c r="O88" s="78"/>
      <c r="P88" s="78"/>
      <c r="Q88" s="78"/>
      <c r="S88" s="4"/>
    </row>
    <row r="89" ht="15.75" customHeight="1">
      <c r="B89" s="78"/>
      <c r="C89" s="144">
        <v>5.0</v>
      </c>
      <c r="D89" s="145">
        <f t="array" ref="D89">SUMPRODUCT(--($C89='Annual Data '!$C$36:$AG$36),'Annual Data '!$C$46:$AG$46)+SUMPRODUCT(--($C89='Annual Data '!$C$36:$AG$36),'Annual Data '!$C$42:$AG$42)</f>
        <v>-384661.9124</v>
      </c>
      <c r="E89" s="146">
        <f t="array" ref="E89">SUMPRODUCT(--($C89='Annual Data '!$C$36:$AG$36),'Annual Data '!$C$47:$AG$47)</f>
        <v>0.01552140237</v>
      </c>
      <c r="F89" s="147">
        <f t="array" ref="F89">SUMPRODUCT(--($C89='Annual Data '!$C$36:$AG$36),'Annual Data '!$C$48:$AG$48)</f>
        <v>-0.6575417306</v>
      </c>
      <c r="G89" s="78"/>
      <c r="H89" s="78"/>
      <c r="I89" s="78"/>
      <c r="J89" s="82"/>
      <c r="K89" s="78"/>
      <c r="L89" s="78"/>
      <c r="M89" s="78"/>
      <c r="N89" s="78"/>
      <c r="O89" s="78"/>
      <c r="P89" s="78"/>
      <c r="Q89" s="78"/>
      <c r="S89" s="4"/>
    </row>
    <row r="90" ht="15.75" customHeight="1">
      <c r="B90" s="78"/>
      <c r="C90" s="148">
        <v>10.0</v>
      </c>
      <c r="D90" s="149">
        <f t="array" ref="D90">SUMPRODUCT(--($C90='Annual Data '!$C$36:$AG$36),'Annual Data '!$C$46:$AG$46)+SUMPRODUCT(--($C90='Annual Data '!$C$36:$AG$36),'Annual Data '!$C$42:$AG$42)</f>
        <v>-336427.4284</v>
      </c>
      <c r="E90" s="150">
        <f t="array" ref="E90">SUMPRODUCT(--($C90='Annual Data '!$C$36:$AG$36),'Annual Data '!$C$47:$AG$47)</f>
        <v>0.02525111334</v>
      </c>
      <c r="F90" s="151">
        <f t="array" ref="F90">SUMPRODUCT(--($C90='Annual Data '!$C$36:$AG$36),'Annual Data '!$C$48:$AG$48)</f>
        <v>-0.2875448106</v>
      </c>
      <c r="G90" s="78"/>
      <c r="H90" s="78"/>
      <c r="I90" s="78"/>
      <c r="J90" s="78"/>
      <c r="K90" s="78"/>
      <c r="L90" s="78"/>
      <c r="M90" s="78"/>
      <c r="N90" s="78"/>
      <c r="O90" s="78"/>
      <c r="P90" s="78"/>
      <c r="Q90" s="78"/>
      <c r="S90" s="4"/>
    </row>
    <row r="91" ht="15.75" customHeight="1">
      <c r="B91" s="78"/>
      <c r="C91" s="144">
        <v>15.0</v>
      </c>
      <c r="D91" s="145">
        <f t="array" ref="D91">SUMPRODUCT(--($C91='Annual Data '!$C$36:$AG$36),'Annual Data '!$C$46:$AG$46)+SUMPRODUCT(--($C91='Annual Data '!$C$36:$AG$36),'Annual Data '!$C$42:$AG$42)</f>
        <v>-266857.0363</v>
      </c>
      <c r="E91" s="146">
        <f t="array" ref="E91">SUMPRODUCT(--($C91='Annual Data '!$C$36:$AG$36),'Annual Data '!$C$47:$AG$47)</f>
        <v>0.03565594172</v>
      </c>
      <c r="F91" s="147">
        <f t="array" ref="F91">SUMPRODUCT(--($C91='Annual Data '!$C$36:$AG$36),'Annual Data '!$C$48:$AG$48)</f>
        <v>-0.1520552913</v>
      </c>
      <c r="G91" s="78"/>
      <c r="H91" s="78"/>
      <c r="I91" s="78"/>
      <c r="J91" s="78"/>
      <c r="K91" s="78"/>
      <c r="L91" s="78"/>
      <c r="M91" s="78"/>
      <c r="N91" s="78"/>
      <c r="O91" s="78"/>
      <c r="P91" s="78"/>
      <c r="Q91" s="78"/>
      <c r="S91" s="4"/>
    </row>
    <row r="92" ht="15.75" customHeight="1">
      <c r="B92" s="78"/>
      <c r="C92" s="148">
        <v>20.0</v>
      </c>
      <c r="D92" s="149">
        <f t="array" ref="D92">SUMPRODUCT(--($C92='Annual Data '!$C$36:$AG$36),'Annual Data '!$C$46:$AG$46)+SUMPRODUCT(--($C92='Annual Data '!$C$36:$AG$36),'Annual Data '!$C$42:$AG$42)</f>
        <v>-171874.7121</v>
      </c>
      <c r="E92" s="150">
        <f t="array" ref="E92">SUMPRODUCT(--($C92='Annual Data '!$C$36:$AG$36),'Annual Data '!$C$47:$AG$47)</f>
        <v>0.0467885876</v>
      </c>
      <c r="F92" s="151">
        <f t="array" ref="F92">SUMPRODUCT(--($C92='Annual Data '!$C$36:$AG$36),'Annual Data '!$C$48:$AG$48)</f>
        <v>-0.07345073167</v>
      </c>
      <c r="G92" s="78"/>
      <c r="H92" s="78"/>
      <c r="I92" s="78"/>
      <c r="J92" s="78"/>
      <c r="K92" s="78"/>
      <c r="L92" s="78"/>
      <c r="M92" s="78"/>
      <c r="N92" s="78"/>
      <c r="O92" s="78"/>
      <c r="P92" s="78"/>
      <c r="Q92" s="78"/>
      <c r="S92" s="4"/>
    </row>
    <row r="93" ht="15.75" customHeight="1">
      <c r="B93" s="78"/>
      <c r="C93" s="144">
        <v>25.0</v>
      </c>
      <c r="D93" s="145">
        <f t="array" ref="D93">SUMPRODUCT(--($C93='Annual Data '!$C$36:$AG$36),'Annual Data '!$C$46:$AG$46)+SUMPRODUCT(--($C93='Annual Data '!$C$36:$AG$36),'Annual Data '!$C$42:$AG$42)</f>
        <v>-46394.45057</v>
      </c>
      <c r="E93" s="146">
        <f t="array" ref="E93">SUMPRODUCT(--($C93='Annual Data '!$C$36:$AG$36),'Annual Data '!$C$47:$AG$47)</f>
        <v>0.0587061391</v>
      </c>
      <c r="F93" s="147">
        <f t="array" ref="F93">SUMPRODUCT(--($C93='Annual Data '!$C$36:$AG$36),'Annual Data '!$C$48:$AG$48)</f>
        <v>-0.01586135062</v>
      </c>
      <c r="G93" s="78"/>
      <c r="H93" s="78"/>
      <c r="I93" s="78"/>
      <c r="J93" s="78"/>
      <c r="K93" s="78"/>
      <c r="L93" s="78"/>
      <c r="M93" s="78"/>
      <c r="N93" s="78"/>
      <c r="O93" s="78"/>
      <c r="P93" s="78"/>
      <c r="Q93" s="78"/>
      <c r="S93" s="4"/>
    </row>
    <row r="94" ht="15.75" customHeight="1">
      <c r="B94" s="78"/>
      <c r="C94" s="148">
        <v>30.0</v>
      </c>
      <c r="D94" s="149">
        <f t="array" ref="D94">SUMPRODUCT(--($C94='Annual Data '!$C$36:$AG$36),'Annual Data '!$C$46:$AG$46)+SUMPRODUCT(--($C94='Annual Data '!$C$36:$AG$36),'Annual Data '!$C$42:$AG$42)</f>
        <v>115969.7773</v>
      </c>
      <c r="E94" s="152">
        <f t="array" ref="E94">SUMPRODUCT(--($C94='Annual Data '!$C$36:$AG$36),'Annual Data '!$C$47:$AG$47)</f>
        <v>0.07147045299</v>
      </c>
      <c r="F94" s="151">
        <f t="array" ref="F94">SUMPRODUCT(--($C94='Annual Data '!$C$36:$AG$36),'Annual Data '!$C$48:$AG$48)</f>
        <v>0.03303982259</v>
      </c>
      <c r="G94" s="78"/>
      <c r="H94" s="78"/>
      <c r="I94" s="78"/>
      <c r="J94" s="78"/>
      <c r="K94" s="78"/>
      <c r="L94" s="78"/>
      <c r="M94" s="78"/>
      <c r="N94" s="78"/>
      <c r="O94" s="78"/>
      <c r="P94" s="78"/>
      <c r="Q94" s="78"/>
      <c r="S94" s="4"/>
    </row>
    <row r="95" ht="15.75" customHeight="1">
      <c r="B95" s="78"/>
      <c r="C95" s="90"/>
      <c r="D95" s="153"/>
      <c r="E95" s="154"/>
      <c r="F95" s="92"/>
      <c r="G95" s="78"/>
      <c r="H95" s="78"/>
      <c r="I95" s="78"/>
      <c r="J95" s="82">
        <f>I11*(1+$H$7)</f>
        <v>0</v>
      </c>
      <c r="K95" s="78"/>
      <c r="L95" s="78"/>
      <c r="M95" s="78"/>
      <c r="N95" s="78"/>
      <c r="O95" s="78"/>
      <c r="P95" s="78"/>
      <c r="Q95" s="78"/>
      <c r="S95" s="4"/>
    </row>
    <row r="96" ht="15.75" customHeight="1">
      <c r="B96" s="78"/>
      <c r="C96" s="78"/>
      <c r="D96" s="78"/>
      <c r="E96" s="78"/>
      <c r="F96" s="78"/>
      <c r="G96" s="78"/>
      <c r="H96" s="78"/>
      <c r="I96" s="78"/>
      <c r="J96" s="78"/>
      <c r="K96" s="78"/>
      <c r="L96" s="78"/>
      <c r="M96" s="78"/>
      <c r="N96" s="78"/>
      <c r="O96" s="78"/>
      <c r="P96" s="78"/>
      <c r="Q96" s="78"/>
      <c r="S96" s="4"/>
    </row>
    <row r="97" ht="15.75" customHeight="1">
      <c r="B97" s="78"/>
      <c r="C97" s="78"/>
      <c r="D97" s="78"/>
      <c r="E97" s="78"/>
      <c r="F97" s="155"/>
      <c r="G97" s="156"/>
      <c r="H97" s="156"/>
      <c r="I97" s="78"/>
      <c r="J97" s="78"/>
      <c r="K97" s="78"/>
      <c r="L97" s="78"/>
      <c r="M97" s="78"/>
      <c r="N97" s="78"/>
      <c r="O97" s="78"/>
      <c r="P97" s="78"/>
      <c r="Q97" s="78"/>
      <c r="S97" s="4"/>
    </row>
    <row r="98" ht="15.75" customHeight="1">
      <c r="F98" s="155"/>
      <c r="G98" s="156"/>
      <c r="H98" s="156"/>
      <c r="S98" s="4"/>
    </row>
    <row r="99" ht="15.75" customHeight="1">
      <c r="F99" s="155"/>
    </row>
    <row r="100" ht="15.75" customHeight="1">
      <c r="F100" s="155"/>
    </row>
    <row r="101" ht="15.75" customHeight="1">
      <c r="F101" s="155"/>
    </row>
    <row r="102" ht="15.75" customHeight="1">
      <c r="F102" s="155"/>
    </row>
    <row r="103" ht="15.75" customHeight="1"/>
    <row r="104" ht="15.75" customHeight="1"/>
    <row r="105" ht="15.75" customHeight="1"/>
    <row r="106" ht="15.75" customHeight="1"/>
    <row r="107" ht="15.75" customHeight="1"/>
    <row r="108" ht="15.75" customHeight="1">
      <c r="J108" s="82"/>
    </row>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B44:G44"/>
    <mergeCell ref="B25:G25"/>
    <mergeCell ref="B10:G10"/>
    <mergeCell ref="I25:Q25"/>
    <mergeCell ref="E27:F27"/>
    <mergeCell ref="S2:X41"/>
    <mergeCell ref="S45:X98"/>
    <mergeCell ref="B57:Q57"/>
    <mergeCell ref="J59:P60"/>
    <mergeCell ref="J78:P79"/>
    <mergeCell ref="C86:F86"/>
    <mergeCell ref="D95:E95"/>
    <mergeCell ref="D59:F60"/>
    <mergeCell ref="C61:C83"/>
    <mergeCell ref="L12:P12"/>
    <mergeCell ref="O14:P14"/>
    <mergeCell ref="E4:M5"/>
    <mergeCell ref="E6:M6"/>
    <mergeCell ref="E7:M8"/>
    <mergeCell ref="I10:Q10"/>
    <mergeCell ref="I18:Q18"/>
    <mergeCell ref="I44:Q44"/>
    <mergeCell ref="E2:L3"/>
  </mergeCells>
  <dataValidations>
    <dataValidation type="list" allowBlank="1" showErrorMessage="1" sqref="P20 F37">
      <formula1>"yes,no"</formula1>
    </dataValidation>
  </dataValidation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sheetData>
    <row r="1" ht="15.75" customHeight="1">
      <c r="A1" s="157" t="s">
        <v>89</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61.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6"/>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63"/>
    <col customWidth="1" min="2" max="2" width="30.88"/>
  </cols>
  <sheetData>
    <row r="1" ht="15.75" customHeight="1">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row>
    <row r="2" ht="15.75" customHeight="1">
      <c r="A2" s="159"/>
      <c r="B2" s="160" t="s">
        <v>90</v>
      </c>
      <c r="C2" s="159">
        <v>1.0</v>
      </c>
      <c r="D2" s="159">
        <v>2.0</v>
      </c>
      <c r="E2" s="159">
        <f t="shared" ref="E2:AF2" si="1">D2+1</f>
        <v>3</v>
      </c>
      <c r="F2" s="159">
        <f t="shared" si="1"/>
        <v>4</v>
      </c>
      <c r="G2" s="159">
        <f t="shared" si="1"/>
        <v>5</v>
      </c>
      <c r="H2" s="159">
        <f t="shared" si="1"/>
        <v>6</v>
      </c>
      <c r="I2" s="159">
        <f t="shared" si="1"/>
        <v>7</v>
      </c>
      <c r="J2" s="159">
        <f t="shared" si="1"/>
        <v>8</v>
      </c>
      <c r="K2" s="159">
        <f t="shared" si="1"/>
        <v>9</v>
      </c>
      <c r="L2" s="159">
        <f t="shared" si="1"/>
        <v>10</v>
      </c>
      <c r="M2" s="159">
        <f t="shared" si="1"/>
        <v>11</v>
      </c>
      <c r="N2" s="159">
        <f t="shared" si="1"/>
        <v>12</v>
      </c>
      <c r="O2" s="159">
        <f t="shared" si="1"/>
        <v>13</v>
      </c>
      <c r="P2" s="159">
        <f t="shared" si="1"/>
        <v>14</v>
      </c>
      <c r="Q2" s="159">
        <f t="shared" si="1"/>
        <v>15</v>
      </c>
      <c r="R2" s="159">
        <f t="shared" si="1"/>
        <v>16</v>
      </c>
      <c r="S2" s="159">
        <f t="shared" si="1"/>
        <v>17</v>
      </c>
      <c r="T2" s="159">
        <f t="shared" si="1"/>
        <v>18</v>
      </c>
      <c r="U2" s="159">
        <f t="shared" si="1"/>
        <v>19</v>
      </c>
      <c r="V2" s="159">
        <f t="shared" si="1"/>
        <v>20</v>
      </c>
      <c r="W2" s="159">
        <f t="shared" si="1"/>
        <v>21</v>
      </c>
      <c r="X2" s="159">
        <f t="shared" si="1"/>
        <v>22</v>
      </c>
      <c r="Y2" s="159">
        <f t="shared" si="1"/>
        <v>23</v>
      </c>
      <c r="Z2" s="159">
        <f t="shared" si="1"/>
        <v>24</v>
      </c>
      <c r="AA2" s="159">
        <f t="shared" si="1"/>
        <v>25</v>
      </c>
      <c r="AB2" s="159">
        <f t="shared" si="1"/>
        <v>26</v>
      </c>
      <c r="AC2" s="159">
        <f t="shared" si="1"/>
        <v>27</v>
      </c>
      <c r="AD2" s="159">
        <f t="shared" si="1"/>
        <v>28</v>
      </c>
      <c r="AE2" s="159">
        <f t="shared" si="1"/>
        <v>29</v>
      </c>
      <c r="AF2" s="159">
        <f t="shared" si="1"/>
        <v>30</v>
      </c>
      <c r="AG2" s="159">
        <v>31.0</v>
      </c>
    </row>
    <row r="3" ht="15.75" customHeight="1">
      <c r="A3" s="158"/>
      <c r="B3" s="161" t="s">
        <v>91</v>
      </c>
      <c r="C3" s="162">
        <f>'Enter Data Here'!L20*12</f>
        <v>26400</v>
      </c>
      <c r="D3" s="163">
        <f>C3*(1+'Ignore This'!$O$4)</f>
        <v>26928</v>
      </c>
      <c r="E3" s="163">
        <f>D3*(1+'Ignore This'!$O$4)</f>
        <v>27466.56</v>
      </c>
      <c r="F3" s="163">
        <f>E3*(1+'Ignore This'!$O$4)</f>
        <v>28015.8912</v>
      </c>
      <c r="G3" s="163">
        <f>F3*(1+'Ignore This'!$O$4)</f>
        <v>28576.20902</v>
      </c>
      <c r="H3" s="163">
        <f>G3*(1+'Ignore This'!$O$4)</f>
        <v>29147.7332</v>
      </c>
      <c r="I3" s="163">
        <f>H3*(1+'Ignore This'!$O$4)</f>
        <v>29730.68787</v>
      </c>
      <c r="J3" s="163">
        <f>I3*(1+'Ignore This'!$O$4)</f>
        <v>30325.30163</v>
      </c>
      <c r="K3" s="163">
        <f>J3*(1+'Ignore This'!$O$4)</f>
        <v>30931.80766</v>
      </c>
      <c r="L3" s="163">
        <f>K3*(1+'Ignore This'!$O$4)</f>
        <v>31550.44381</v>
      </c>
      <c r="M3" s="163">
        <f>L3*(1+'Ignore This'!$O$4)</f>
        <v>32181.45269</v>
      </c>
      <c r="N3" s="163">
        <f>M3*(1+'Ignore This'!$O$4)</f>
        <v>32825.08174</v>
      </c>
      <c r="O3" s="163">
        <f>N3*(1+'Ignore This'!$O$4)</f>
        <v>33481.58338</v>
      </c>
      <c r="P3" s="163">
        <f>O3*(1+'Ignore This'!$O$4)</f>
        <v>34151.21504</v>
      </c>
      <c r="Q3" s="163">
        <f>P3*(1+'Ignore This'!$O$4)</f>
        <v>34834.23934</v>
      </c>
      <c r="R3" s="163">
        <f>Q3*(1+'Ignore This'!$O$4)</f>
        <v>35530.92413</v>
      </c>
      <c r="S3" s="163">
        <f>R3*(1+'Ignore This'!$O$4)</f>
        <v>36241.54261</v>
      </c>
      <c r="T3" s="163">
        <f>S3*(1+'Ignore This'!$O$4)</f>
        <v>36966.37347</v>
      </c>
      <c r="U3" s="163">
        <f>T3*(1+'Ignore This'!$O$4)</f>
        <v>37705.70094</v>
      </c>
      <c r="V3" s="163">
        <f>U3*(1+'Ignore This'!$O$4)</f>
        <v>38459.81495</v>
      </c>
      <c r="W3" s="163">
        <f>V3*(1+'Ignore This'!$O$4)</f>
        <v>39229.01125</v>
      </c>
      <c r="X3" s="163">
        <f>W3*(1+'Ignore This'!$O$4)</f>
        <v>40013.59148</v>
      </c>
      <c r="Y3" s="163">
        <f>X3*(1+'Ignore This'!$O$4)</f>
        <v>40813.86331</v>
      </c>
      <c r="Z3" s="163">
        <f>Y3*(1+'Ignore This'!$O$4)</f>
        <v>41630.14057</v>
      </c>
      <c r="AA3" s="163">
        <f>Z3*(1+'Ignore This'!$O$4)</f>
        <v>42462.74339</v>
      </c>
      <c r="AB3" s="163">
        <f>AA3*(1+'Ignore This'!$O$4)</f>
        <v>43311.99825</v>
      </c>
      <c r="AC3" s="163">
        <f>AB3*(1+'Ignore This'!$O$4)</f>
        <v>44178.23822</v>
      </c>
      <c r="AD3" s="163">
        <f>AC3*(1+'Ignore This'!$O$4)</f>
        <v>45061.80298</v>
      </c>
      <c r="AE3" s="163">
        <f>AD3*(1+'Ignore This'!$O$4)</f>
        <v>45963.03904</v>
      </c>
      <c r="AF3" s="163">
        <f>AE3*(1+'Ignore This'!$O$4)</f>
        <v>46882.29982</v>
      </c>
      <c r="AG3" s="163">
        <f>AF3*(1+'Ignore This'!$O$4)</f>
        <v>47819.94582</v>
      </c>
    </row>
    <row r="4" ht="15.75" customHeight="1">
      <c r="A4" s="159"/>
      <c r="B4" s="164" t="s">
        <v>92</v>
      </c>
      <c r="C4" s="165">
        <f>'Enter Data Here'!L22*12</f>
        <v>132</v>
      </c>
      <c r="D4" s="165">
        <f>C4*(1+'Ignore This'!$O$4)</f>
        <v>134.64</v>
      </c>
      <c r="E4" s="165">
        <f>D4*(1+'Ignore This'!$O$4)</f>
        <v>137.3328</v>
      </c>
      <c r="F4" s="165">
        <f>E4*(1+'Ignore This'!$O$4)</f>
        <v>140.079456</v>
      </c>
      <c r="G4" s="165">
        <f>F4*(1+'Ignore This'!$O$4)</f>
        <v>142.8810451</v>
      </c>
      <c r="H4" s="165">
        <f>G4*(1+'Ignore This'!$O$4)</f>
        <v>145.738666</v>
      </c>
      <c r="I4" s="165">
        <f>H4*(1+'Ignore This'!$O$4)</f>
        <v>148.6534393</v>
      </c>
      <c r="J4" s="165">
        <f>I4*(1+'Ignore This'!$O$4)</f>
        <v>151.6265081</v>
      </c>
      <c r="K4" s="165">
        <f>J4*(1+'Ignore This'!$O$4)</f>
        <v>154.6590383</v>
      </c>
      <c r="L4" s="165">
        <f>K4*(1+'Ignore This'!$O$4)</f>
        <v>157.7522191</v>
      </c>
      <c r="M4" s="165">
        <f>L4*(1+'Ignore This'!$O$4)</f>
        <v>160.9072634</v>
      </c>
      <c r="N4" s="165">
        <f>M4*(1+'Ignore This'!$O$4)</f>
        <v>164.1254087</v>
      </c>
      <c r="O4" s="165">
        <f>N4*(1+'Ignore This'!$O$4)</f>
        <v>167.4079169</v>
      </c>
      <c r="P4" s="165">
        <f>O4*(1+'Ignore This'!$O$4)</f>
        <v>170.7560752</v>
      </c>
      <c r="Q4" s="165">
        <f>P4*(1+'Ignore This'!$O$4)</f>
        <v>174.1711967</v>
      </c>
      <c r="R4" s="165">
        <f>Q4*(1+'Ignore This'!$O$4)</f>
        <v>177.6546207</v>
      </c>
      <c r="S4" s="165">
        <f>R4*(1+'Ignore This'!$O$4)</f>
        <v>181.2077131</v>
      </c>
      <c r="T4" s="165">
        <f>S4*(1+'Ignore This'!$O$4)</f>
        <v>184.8318673</v>
      </c>
      <c r="U4" s="165">
        <f>T4*(1+'Ignore This'!$O$4)</f>
        <v>188.5285047</v>
      </c>
      <c r="V4" s="165">
        <f>U4*(1+'Ignore This'!$O$4)</f>
        <v>192.2990748</v>
      </c>
      <c r="W4" s="165">
        <f>V4*(1+'Ignore This'!$O$4)</f>
        <v>196.1450563</v>
      </c>
      <c r="X4" s="165">
        <f>W4*(1+'Ignore This'!$O$4)</f>
        <v>200.0679574</v>
      </c>
      <c r="Y4" s="165">
        <f>X4*(1+'Ignore This'!$O$4)</f>
        <v>204.0693165</v>
      </c>
      <c r="Z4" s="165">
        <f>Y4*(1+'Ignore This'!$O$4)</f>
        <v>208.1507029</v>
      </c>
      <c r="AA4" s="165">
        <f>Z4*(1+'Ignore This'!$O$4)</f>
        <v>212.3137169</v>
      </c>
      <c r="AB4" s="165">
        <f>AA4*(1+'Ignore This'!$O$4)</f>
        <v>216.5599913</v>
      </c>
      <c r="AC4" s="165">
        <f>AB4*(1+'Ignore This'!$O$4)</f>
        <v>220.8911911</v>
      </c>
      <c r="AD4" s="165">
        <f>AC4*(1+'Ignore This'!$O$4)</f>
        <v>225.3090149</v>
      </c>
      <c r="AE4" s="165">
        <f>AD4*(1+'Ignore This'!$O$4)</f>
        <v>229.8151952</v>
      </c>
      <c r="AF4" s="165">
        <f>AE4*(1+'Ignore This'!$O$4)</f>
        <v>234.4114991</v>
      </c>
      <c r="AG4" s="165">
        <f>AF4*(1+'Ignore This'!$O$4)</f>
        <v>239.0997291</v>
      </c>
    </row>
    <row r="5" ht="15.75" customHeight="1">
      <c r="A5" s="158"/>
      <c r="B5" s="161" t="s">
        <v>93</v>
      </c>
      <c r="C5" s="166">
        <f>-'Enter Data Here'!$P$31*(C3+C4)</f>
        <v>-1326.6</v>
      </c>
      <c r="D5" s="166">
        <f>-'Enter Data Here'!$P$31*(D3+D4)</f>
        <v>-1353.132</v>
      </c>
      <c r="E5" s="166">
        <f>-'Enter Data Here'!$P$31*(E3+E4)</f>
        <v>-1380.19464</v>
      </c>
      <c r="F5" s="166">
        <f>-'Enter Data Here'!$P$31*(F3+F4)</f>
        <v>-1407.798533</v>
      </c>
      <c r="G5" s="166">
        <f>-'Enter Data Here'!$P$31*(G3+G4)</f>
        <v>-1435.954503</v>
      </c>
      <c r="H5" s="166">
        <f>-'Enter Data Here'!$P$31*(H3+H4)</f>
        <v>-1464.673594</v>
      </c>
      <c r="I5" s="166">
        <f>-'Enter Data Here'!$P$31*(I3+I4)</f>
        <v>-1493.967065</v>
      </c>
      <c r="J5" s="166">
        <f>-'Enter Data Here'!$P$31*(J3+J4)</f>
        <v>-1523.846407</v>
      </c>
      <c r="K5" s="166">
        <f>-'Enter Data Here'!$P$31*(K3+K4)</f>
        <v>-1554.323335</v>
      </c>
      <c r="L5" s="166">
        <f>-'Enter Data Here'!$P$31*(L3+L4)</f>
        <v>-1585.409802</v>
      </c>
      <c r="M5" s="166">
        <f>-'Enter Data Here'!$P$31*(M3+M4)</f>
        <v>-1617.117998</v>
      </c>
      <c r="N5" s="166">
        <f>-'Enter Data Here'!$P$31*(N3+N4)</f>
        <v>-1649.460358</v>
      </c>
      <c r="O5" s="166">
        <f>-'Enter Data Here'!$P$31*(O3+O4)</f>
        <v>-1682.449565</v>
      </c>
      <c r="P5" s="166">
        <f>-'Enter Data Here'!$P$31*(P3+P4)</f>
        <v>-1716.098556</v>
      </c>
      <c r="Q5" s="166">
        <f>-'Enter Data Here'!$P$31*(Q3+Q4)</f>
        <v>-1750.420527</v>
      </c>
      <c r="R5" s="166">
        <f>-'Enter Data Here'!$P$31*(R3+R4)</f>
        <v>-1785.428938</v>
      </c>
      <c r="S5" s="166">
        <f>-'Enter Data Here'!$P$31*(S3+S4)</f>
        <v>-1821.137516</v>
      </c>
      <c r="T5" s="166">
        <f>-'Enter Data Here'!$P$31*(T3+T4)</f>
        <v>-1857.560267</v>
      </c>
      <c r="U5" s="166">
        <f>-'Enter Data Here'!$P$31*(U3+U4)</f>
        <v>-1894.711472</v>
      </c>
      <c r="V5" s="166">
        <f>-'Enter Data Here'!$P$31*(V3+V4)</f>
        <v>-1932.605701</v>
      </c>
      <c r="W5" s="166">
        <f>-'Enter Data Here'!$P$31*(W3+W4)</f>
        <v>-1971.257816</v>
      </c>
      <c r="X5" s="166">
        <f>-'Enter Data Here'!$P$31*(X3+X4)</f>
        <v>-2010.682972</v>
      </c>
      <c r="Y5" s="166">
        <f>-'Enter Data Here'!$P$31*(Y3+Y4)</f>
        <v>-2050.896631</v>
      </c>
      <c r="Z5" s="166">
        <f>-'Enter Data Here'!$P$31*(Z3+Z4)</f>
        <v>-2091.914564</v>
      </c>
      <c r="AA5" s="166">
        <f>-'Enter Data Here'!$P$31*(AA3+AA4)</f>
        <v>-2133.752855</v>
      </c>
      <c r="AB5" s="166">
        <f>-'Enter Data Here'!$P$31*(AB3+AB4)</f>
        <v>-2176.427912</v>
      </c>
      <c r="AC5" s="166">
        <f>-'Enter Data Here'!$P$31*(AC3+AC4)</f>
        <v>-2219.956471</v>
      </c>
      <c r="AD5" s="166">
        <f>-'Enter Data Here'!$P$31*(AD3+AD4)</f>
        <v>-2264.3556</v>
      </c>
      <c r="AE5" s="166">
        <f>-'Enter Data Here'!$P$31*(AE3+AE4)</f>
        <v>-2309.642712</v>
      </c>
      <c r="AF5" s="166">
        <f>-'Enter Data Here'!$P$31*(AF3+AF4)</f>
        <v>-2355.835566</v>
      </c>
      <c r="AG5" s="166">
        <f>-'Enter Data Here'!$P$31*(AG3+AG4)</f>
        <v>-2402.952277</v>
      </c>
    </row>
    <row r="6" ht="15.75" customHeight="1">
      <c r="A6" s="159"/>
      <c r="B6" s="164" t="s">
        <v>94</v>
      </c>
      <c r="C6" s="167">
        <f t="shared" ref="C6:AG6" si="2">SUM(C3:C5)</f>
        <v>25205.4</v>
      </c>
      <c r="D6" s="167">
        <f t="shared" si="2"/>
        <v>25709.508</v>
      </c>
      <c r="E6" s="167">
        <f t="shared" si="2"/>
        <v>26223.69816</v>
      </c>
      <c r="F6" s="167">
        <f t="shared" si="2"/>
        <v>26748.17212</v>
      </c>
      <c r="G6" s="167">
        <f t="shared" si="2"/>
        <v>27283.13557</v>
      </c>
      <c r="H6" s="167">
        <f t="shared" si="2"/>
        <v>27828.79828</v>
      </c>
      <c r="I6" s="167">
        <f t="shared" si="2"/>
        <v>28385.37424</v>
      </c>
      <c r="J6" s="167">
        <f t="shared" si="2"/>
        <v>28953.08173</v>
      </c>
      <c r="K6" s="167">
        <f t="shared" si="2"/>
        <v>29532.14336</v>
      </c>
      <c r="L6" s="167">
        <f t="shared" si="2"/>
        <v>30122.78623</v>
      </c>
      <c r="M6" s="167">
        <f t="shared" si="2"/>
        <v>30725.24195</v>
      </c>
      <c r="N6" s="167">
        <f t="shared" si="2"/>
        <v>31339.74679</v>
      </c>
      <c r="O6" s="167">
        <f t="shared" si="2"/>
        <v>31966.54173</v>
      </c>
      <c r="P6" s="167">
        <f t="shared" si="2"/>
        <v>32605.87256</v>
      </c>
      <c r="Q6" s="167">
        <f t="shared" si="2"/>
        <v>33257.99001</v>
      </c>
      <c r="R6" s="167">
        <f t="shared" si="2"/>
        <v>33923.14981</v>
      </c>
      <c r="S6" s="167">
        <f t="shared" si="2"/>
        <v>34601.61281</v>
      </c>
      <c r="T6" s="167">
        <f t="shared" si="2"/>
        <v>35293.64507</v>
      </c>
      <c r="U6" s="167">
        <f t="shared" si="2"/>
        <v>35999.51797</v>
      </c>
      <c r="V6" s="167">
        <f t="shared" si="2"/>
        <v>36719.50833</v>
      </c>
      <c r="W6" s="167">
        <f t="shared" si="2"/>
        <v>37453.89849</v>
      </c>
      <c r="X6" s="167">
        <f t="shared" si="2"/>
        <v>38202.97646</v>
      </c>
      <c r="Y6" s="167">
        <f t="shared" si="2"/>
        <v>38967.03599</v>
      </c>
      <c r="Z6" s="167">
        <f t="shared" si="2"/>
        <v>39746.37671</v>
      </c>
      <c r="AA6" s="167">
        <f t="shared" si="2"/>
        <v>40541.30425</v>
      </c>
      <c r="AB6" s="167">
        <f t="shared" si="2"/>
        <v>41352.13033</v>
      </c>
      <c r="AC6" s="167">
        <f t="shared" si="2"/>
        <v>42179.17294</v>
      </c>
      <c r="AD6" s="167">
        <f t="shared" si="2"/>
        <v>43022.7564</v>
      </c>
      <c r="AE6" s="167">
        <f t="shared" si="2"/>
        <v>43883.21153</v>
      </c>
      <c r="AF6" s="167">
        <f t="shared" si="2"/>
        <v>44760.87576</v>
      </c>
      <c r="AG6" s="167">
        <f t="shared" si="2"/>
        <v>45656.09327</v>
      </c>
    </row>
    <row r="7" ht="15.75" customHeight="1">
      <c r="A7" s="158"/>
      <c r="B7" s="168" t="s">
        <v>95</v>
      </c>
      <c r="C7" s="158"/>
      <c r="D7" s="169"/>
      <c r="E7" s="170"/>
      <c r="F7" s="158"/>
      <c r="G7" s="158"/>
      <c r="H7" s="170"/>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row>
    <row r="8" ht="15.75" customHeight="1">
      <c r="A8" s="159"/>
      <c r="B8" s="164" t="str">
        <f>'Enter Data Here'!J27</f>
        <v>Monthly Loan P&amp;I ($)</v>
      </c>
      <c r="C8" s="165">
        <f>'Enter Data Here'!L27*12</f>
        <v>20058.84984</v>
      </c>
      <c r="D8" s="165">
        <f t="shared" ref="D8:AG8" si="3">C8</f>
        <v>20058.84984</v>
      </c>
      <c r="E8" s="165">
        <f t="shared" si="3"/>
        <v>20058.84984</v>
      </c>
      <c r="F8" s="165">
        <f t="shared" si="3"/>
        <v>20058.84984</v>
      </c>
      <c r="G8" s="165">
        <f t="shared" si="3"/>
        <v>20058.84984</v>
      </c>
      <c r="H8" s="165">
        <f t="shared" si="3"/>
        <v>20058.84984</v>
      </c>
      <c r="I8" s="165">
        <f t="shared" si="3"/>
        <v>20058.84984</v>
      </c>
      <c r="J8" s="165">
        <f t="shared" si="3"/>
        <v>20058.84984</v>
      </c>
      <c r="K8" s="165">
        <f t="shared" si="3"/>
        <v>20058.84984</v>
      </c>
      <c r="L8" s="165">
        <f t="shared" si="3"/>
        <v>20058.84984</v>
      </c>
      <c r="M8" s="165">
        <f t="shared" si="3"/>
        <v>20058.84984</v>
      </c>
      <c r="N8" s="165">
        <f t="shared" si="3"/>
        <v>20058.84984</v>
      </c>
      <c r="O8" s="165">
        <f t="shared" si="3"/>
        <v>20058.84984</v>
      </c>
      <c r="P8" s="165">
        <f t="shared" si="3"/>
        <v>20058.84984</v>
      </c>
      <c r="Q8" s="165">
        <f t="shared" si="3"/>
        <v>20058.84984</v>
      </c>
      <c r="R8" s="165">
        <f t="shared" si="3"/>
        <v>20058.84984</v>
      </c>
      <c r="S8" s="165">
        <f t="shared" si="3"/>
        <v>20058.84984</v>
      </c>
      <c r="T8" s="165">
        <f t="shared" si="3"/>
        <v>20058.84984</v>
      </c>
      <c r="U8" s="165">
        <f t="shared" si="3"/>
        <v>20058.84984</v>
      </c>
      <c r="V8" s="165">
        <f t="shared" si="3"/>
        <v>20058.84984</v>
      </c>
      <c r="W8" s="165">
        <f t="shared" si="3"/>
        <v>20058.84984</v>
      </c>
      <c r="X8" s="165">
        <f t="shared" si="3"/>
        <v>20058.84984</v>
      </c>
      <c r="Y8" s="165">
        <f t="shared" si="3"/>
        <v>20058.84984</v>
      </c>
      <c r="Z8" s="165">
        <f t="shared" si="3"/>
        <v>20058.84984</v>
      </c>
      <c r="AA8" s="165">
        <f t="shared" si="3"/>
        <v>20058.84984</v>
      </c>
      <c r="AB8" s="165">
        <f t="shared" si="3"/>
        <v>20058.84984</v>
      </c>
      <c r="AC8" s="165">
        <f t="shared" si="3"/>
        <v>20058.84984</v>
      </c>
      <c r="AD8" s="165">
        <f t="shared" si="3"/>
        <v>20058.84984</v>
      </c>
      <c r="AE8" s="165">
        <f t="shared" si="3"/>
        <v>20058.84984</v>
      </c>
      <c r="AF8" s="165">
        <f t="shared" si="3"/>
        <v>20058.84984</v>
      </c>
      <c r="AG8" s="165">
        <f t="shared" si="3"/>
        <v>20058.84984</v>
      </c>
    </row>
    <row r="9" ht="15.75" customHeight="1">
      <c r="A9" s="158"/>
      <c r="B9" s="161" t="str">
        <f>'Enter Data Here'!J29</f>
        <v>Monthly Property Insurance  ($)</v>
      </c>
      <c r="C9" s="169">
        <f>'Enter Data Here'!L29*12</f>
        <v>1476</v>
      </c>
      <c r="D9" s="169">
        <f>C9*(1+'Ignore This'!$O$6)</f>
        <v>1505.52</v>
      </c>
      <c r="E9" s="169">
        <f>D9*(1+'Ignore This'!$O$6)</f>
        <v>1535.6304</v>
      </c>
      <c r="F9" s="169">
        <f>E9*(1+'Ignore This'!$O$6)</f>
        <v>1566.343008</v>
      </c>
      <c r="G9" s="169">
        <f>F9*(1+'Ignore This'!$O$6)</f>
        <v>1597.669868</v>
      </c>
      <c r="H9" s="169">
        <f>G9*(1+'Ignore This'!$O$6)</f>
        <v>1629.623266</v>
      </c>
      <c r="I9" s="169">
        <f>H9*(1+'Ignore This'!$O$6)</f>
        <v>1662.215731</v>
      </c>
      <c r="J9" s="169">
        <f>I9*(1+'Ignore This'!$O$6)</f>
        <v>1695.460045</v>
      </c>
      <c r="K9" s="169">
        <f>J9*(1+'Ignore This'!$O$6)</f>
        <v>1729.369246</v>
      </c>
      <c r="L9" s="169">
        <f>K9*(1+'Ignore This'!$O$6)</f>
        <v>1763.956631</v>
      </c>
      <c r="M9" s="169">
        <f>L9*(1+'Ignore This'!$O$6)</f>
        <v>1799.235764</v>
      </c>
      <c r="N9" s="169">
        <f>M9*(1+'Ignore This'!$O$6)</f>
        <v>1835.220479</v>
      </c>
      <c r="O9" s="169">
        <f>N9*(1+'Ignore This'!$O$6)</f>
        <v>1871.924889</v>
      </c>
      <c r="P9" s="169">
        <f>O9*(1+'Ignore This'!$O$6)</f>
        <v>1909.363387</v>
      </c>
      <c r="Q9" s="169">
        <f>P9*(1+'Ignore This'!$O$6)</f>
        <v>1947.550654</v>
      </c>
      <c r="R9" s="169">
        <f>Q9*(1+'Ignore This'!$O$6)</f>
        <v>1986.501667</v>
      </c>
      <c r="S9" s="169">
        <f>R9*(1+'Ignore This'!$O$6)</f>
        <v>2026.231701</v>
      </c>
      <c r="T9" s="169">
        <f>S9*(1+'Ignore This'!$O$6)</f>
        <v>2066.756335</v>
      </c>
      <c r="U9" s="169">
        <f>T9*(1+'Ignore This'!$O$6)</f>
        <v>2108.091461</v>
      </c>
      <c r="V9" s="169">
        <f>U9*(1+'Ignore This'!$O$6)</f>
        <v>2150.253291</v>
      </c>
      <c r="W9" s="169">
        <f>V9*(1+'Ignore This'!$O$6)</f>
        <v>2193.258356</v>
      </c>
      <c r="X9" s="169">
        <f>W9*(1+'Ignore This'!$O$6)</f>
        <v>2237.123524</v>
      </c>
      <c r="Y9" s="169">
        <f>X9*(1+'Ignore This'!$O$6)</f>
        <v>2281.865994</v>
      </c>
      <c r="Z9" s="169">
        <f>Y9*(1+'Ignore This'!$O$6)</f>
        <v>2327.503314</v>
      </c>
      <c r="AA9" s="169">
        <f>Z9*(1+'Ignore This'!$O$6)</f>
        <v>2374.05338</v>
      </c>
      <c r="AB9" s="169">
        <f>AA9*(1+'Ignore This'!$O$6)</f>
        <v>2421.534448</v>
      </c>
      <c r="AC9" s="169">
        <f>AB9*(1+'Ignore This'!$O$6)</f>
        <v>2469.965137</v>
      </c>
      <c r="AD9" s="169">
        <f>AC9*(1+'Ignore This'!$O$6)</f>
        <v>2519.36444</v>
      </c>
      <c r="AE9" s="169">
        <f>AD9*(1+'Ignore This'!$O$6)</f>
        <v>2569.751728</v>
      </c>
      <c r="AF9" s="169">
        <f>AE9*(1+'Ignore This'!$O$6)</f>
        <v>2621.146763</v>
      </c>
      <c r="AG9" s="169">
        <f>AF9*(1+'Ignore This'!$O$6)</f>
        <v>2673.569698</v>
      </c>
    </row>
    <row r="10" ht="15.75" customHeight="1">
      <c r="A10" s="159"/>
      <c r="B10" s="164" t="str">
        <f>'Enter Data Here'!J31</f>
        <v>Monthly Property Tax ($)</v>
      </c>
      <c r="C10" s="165">
        <f>'Enter Data Here'!L31*12</f>
        <v>1572</v>
      </c>
      <c r="D10" s="165">
        <f>C10*(1+'Ignore This'!$O$6)</f>
        <v>1603.44</v>
      </c>
      <c r="E10" s="165">
        <f>D10*(1+'Ignore This'!$O$6)</f>
        <v>1635.5088</v>
      </c>
      <c r="F10" s="165">
        <f>E10*(1+'Ignore This'!$O$6)</f>
        <v>1668.218976</v>
      </c>
      <c r="G10" s="165">
        <f>F10*(1+'Ignore This'!$O$6)</f>
        <v>1701.583356</v>
      </c>
      <c r="H10" s="165">
        <f>G10*(1+'Ignore This'!$O$6)</f>
        <v>1735.615023</v>
      </c>
      <c r="I10" s="165">
        <f>H10*(1+'Ignore This'!$O$6)</f>
        <v>1770.327323</v>
      </c>
      <c r="J10" s="165">
        <f>I10*(1+'Ignore This'!$O$6)</f>
        <v>1805.73387</v>
      </c>
      <c r="K10" s="165">
        <f>J10*(1+'Ignore This'!$O$6)</f>
        <v>1841.848547</v>
      </c>
      <c r="L10" s="165">
        <f>K10*(1+'Ignore This'!$O$6)</f>
        <v>1878.685518</v>
      </c>
      <c r="M10" s="165">
        <f>L10*(1+'Ignore This'!$O$6)</f>
        <v>1916.259228</v>
      </c>
      <c r="N10" s="165">
        <f>M10*(1+'Ignore This'!$O$6)</f>
        <v>1954.584413</v>
      </c>
      <c r="O10" s="165">
        <f>N10*(1+'Ignore This'!$O$6)</f>
        <v>1993.676101</v>
      </c>
      <c r="P10" s="165">
        <f>O10*(1+'Ignore This'!$O$6)</f>
        <v>2033.549623</v>
      </c>
      <c r="Q10" s="165">
        <f>P10*(1+'Ignore This'!$O$6)</f>
        <v>2074.220616</v>
      </c>
      <c r="R10" s="165">
        <f>Q10*(1+'Ignore This'!$O$6)</f>
        <v>2115.705028</v>
      </c>
      <c r="S10" s="165">
        <f>R10*(1+'Ignore This'!$O$6)</f>
        <v>2158.019128</v>
      </c>
      <c r="T10" s="165">
        <f>S10*(1+'Ignore This'!$O$6)</f>
        <v>2201.179511</v>
      </c>
      <c r="U10" s="165">
        <f>T10*(1+'Ignore This'!$O$6)</f>
        <v>2245.203101</v>
      </c>
      <c r="V10" s="165">
        <f>U10*(1+'Ignore This'!$O$6)</f>
        <v>2290.107163</v>
      </c>
      <c r="W10" s="165">
        <f>V10*(1+'Ignore This'!$O$6)</f>
        <v>2335.909306</v>
      </c>
      <c r="X10" s="165">
        <f>W10*(1+'Ignore This'!$O$6)</f>
        <v>2382.627493</v>
      </c>
      <c r="Y10" s="165">
        <f>X10*(1+'Ignore This'!$O$6)</f>
        <v>2430.280042</v>
      </c>
      <c r="Z10" s="165">
        <f>Y10*(1+'Ignore This'!$O$6)</f>
        <v>2478.885643</v>
      </c>
      <c r="AA10" s="165">
        <f>Z10*(1+'Ignore This'!$O$6)</f>
        <v>2528.463356</v>
      </c>
      <c r="AB10" s="165">
        <f>AA10*(1+'Ignore This'!$O$6)</f>
        <v>2579.032623</v>
      </c>
      <c r="AC10" s="165">
        <f>AB10*(1+'Ignore This'!$O$6)</f>
        <v>2630.613276</v>
      </c>
      <c r="AD10" s="165">
        <f>AC10*(1+'Ignore This'!$O$6)</f>
        <v>2683.225541</v>
      </c>
      <c r="AE10" s="165">
        <f>AD10*(1+'Ignore This'!$O$6)</f>
        <v>2736.890052</v>
      </c>
      <c r="AF10" s="165">
        <f>AE10*(1+'Ignore This'!$O$6)</f>
        <v>2791.627853</v>
      </c>
      <c r="AG10" s="165">
        <f>AF10*(1+'Ignore This'!$O$6)</f>
        <v>2847.46041</v>
      </c>
    </row>
    <row r="11" ht="15.75" customHeight="1">
      <c r="A11" s="158"/>
      <c r="B11" s="161" t="str">
        <f>'Enter Data Here'!J33</f>
        <v>"Other" Insurance Costs ($)</v>
      </c>
      <c r="C11" s="169">
        <f>'Enter Data Here'!L33*12</f>
        <v>0</v>
      </c>
      <c r="D11" s="169">
        <f>C11*(1+'Ignore This'!$O$6)</f>
        <v>0</v>
      </c>
      <c r="E11" s="169">
        <f>D11*(1+'Ignore This'!$O$6)</f>
        <v>0</v>
      </c>
      <c r="F11" s="169">
        <f>E11*(1+'Ignore This'!$O$6)</f>
        <v>0</v>
      </c>
      <c r="G11" s="169">
        <f>F11*(1+'Ignore This'!$O$6)</f>
        <v>0</v>
      </c>
      <c r="H11" s="169">
        <f>G11*(1+'Ignore This'!$O$6)</f>
        <v>0</v>
      </c>
      <c r="I11" s="169">
        <f>H11*(1+'Ignore This'!$O$6)</f>
        <v>0</v>
      </c>
      <c r="J11" s="169">
        <f>I11*(1+'Ignore This'!$O$6)</f>
        <v>0</v>
      </c>
      <c r="K11" s="169">
        <f>J11*(1+'Ignore This'!$O$6)</f>
        <v>0</v>
      </c>
      <c r="L11" s="169">
        <f>K11*(1+'Ignore This'!$O$6)</f>
        <v>0</v>
      </c>
      <c r="M11" s="169">
        <f>L11*(1+'Ignore This'!$O$6)</f>
        <v>0</v>
      </c>
      <c r="N11" s="169">
        <f>M11*(1+'Ignore This'!$O$6)</f>
        <v>0</v>
      </c>
      <c r="O11" s="169">
        <f>N11*(1+'Ignore This'!$O$6)</f>
        <v>0</v>
      </c>
      <c r="P11" s="169">
        <f>O11*(1+'Ignore This'!$O$6)</f>
        <v>0</v>
      </c>
      <c r="Q11" s="169">
        <f>P11*(1+'Ignore This'!$O$6)</f>
        <v>0</v>
      </c>
      <c r="R11" s="169">
        <f>Q11*(1+'Ignore This'!$O$6)</f>
        <v>0</v>
      </c>
      <c r="S11" s="169">
        <f>R11*(1+'Ignore This'!$O$6)</f>
        <v>0</v>
      </c>
      <c r="T11" s="169">
        <f>S11*(1+'Ignore This'!$O$6)</f>
        <v>0</v>
      </c>
      <c r="U11" s="169">
        <f>T11*(1+'Ignore This'!$O$6)</f>
        <v>0</v>
      </c>
      <c r="V11" s="169">
        <f>U11*(1+'Ignore This'!$O$6)</f>
        <v>0</v>
      </c>
      <c r="W11" s="169">
        <f>V11*(1+'Ignore This'!$O$6)</f>
        <v>0</v>
      </c>
      <c r="X11" s="169">
        <f>W11*(1+'Ignore This'!$O$6)</f>
        <v>0</v>
      </c>
      <c r="Y11" s="169">
        <f>X11*(1+'Ignore This'!$O$6)</f>
        <v>0</v>
      </c>
      <c r="Z11" s="169">
        <f>Y11*(1+'Ignore This'!$O$6)</f>
        <v>0</v>
      </c>
      <c r="AA11" s="169">
        <f>Z11*(1+'Ignore This'!$O$6)</f>
        <v>0</v>
      </c>
      <c r="AB11" s="169">
        <f>AA11*(1+'Ignore This'!$O$6)</f>
        <v>0</v>
      </c>
      <c r="AC11" s="169">
        <f>AB11*(1+'Ignore This'!$O$6)</f>
        <v>0</v>
      </c>
      <c r="AD11" s="169">
        <f>AC11*(1+'Ignore This'!$O$6)</f>
        <v>0</v>
      </c>
      <c r="AE11" s="169">
        <f>AD11*(1+'Ignore This'!$O$6)</f>
        <v>0</v>
      </c>
      <c r="AF11" s="169">
        <f>AE11*(1+'Ignore This'!$O$6)</f>
        <v>0</v>
      </c>
      <c r="AG11" s="169">
        <f>AF11*(1+'Ignore This'!$O$6)</f>
        <v>0</v>
      </c>
    </row>
    <row r="12" ht="15.75" customHeight="1">
      <c r="A12" s="159"/>
      <c r="B12" s="164" t="str">
        <f>'Enter Data Here'!J35</f>
        <v>Monthly HOA Fee ($)</v>
      </c>
      <c r="C12" s="165">
        <f>'Enter Data Here'!L35*12</f>
        <v>132</v>
      </c>
      <c r="D12" s="165">
        <f>C12*(1+'Ignore This'!$O$6)</f>
        <v>134.64</v>
      </c>
      <c r="E12" s="165">
        <f>D12*(1+'Ignore This'!$O$6)</f>
        <v>137.3328</v>
      </c>
      <c r="F12" s="165">
        <f>E12*(1+'Ignore This'!$O$6)</f>
        <v>140.079456</v>
      </c>
      <c r="G12" s="165">
        <f>F12*(1+'Ignore This'!$O$6)</f>
        <v>142.8810451</v>
      </c>
      <c r="H12" s="165">
        <f>G12*(1+'Ignore This'!$O$6)</f>
        <v>145.738666</v>
      </c>
      <c r="I12" s="165">
        <f>H12*(1+'Ignore This'!$O$6)</f>
        <v>148.6534393</v>
      </c>
      <c r="J12" s="165">
        <f>I12*(1+'Ignore This'!$O$6)</f>
        <v>151.6265081</v>
      </c>
      <c r="K12" s="165">
        <f>J12*(1+'Ignore This'!$O$6)</f>
        <v>154.6590383</v>
      </c>
      <c r="L12" s="165">
        <f>K12*(1+'Ignore This'!$O$6)</f>
        <v>157.7522191</v>
      </c>
      <c r="M12" s="165">
        <f>L12*(1+'Ignore This'!$O$6)</f>
        <v>160.9072634</v>
      </c>
      <c r="N12" s="165">
        <f>M12*(1+'Ignore This'!$O$6)</f>
        <v>164.1254087</v>
      </c>
      <c r="O12" s="165">
        <f>N12*(1+'Ignore This'!$O$6)</f>
        <v>167.4079169</v>
      </c>
      <c r="P12" s="165">
        <f>O12*(1+'Ignore This'!$O$6)</f>
        <v>170.7560752</v>
      </c>
      <c r="Q12" s="165">
        <f>P12*(1+'Ignore This'!$O$6)</f>
        <v>174.1711967</v>
      </c>
      <c r="R12" s="165">
        <f>Q12*(1+'Ignore This'!$O$6)</f>
        <v>177.6546207</v>
      </c>
      <c r="S12" s="165">
        <f>R12*(1+'Ignore This'!$O$6)</f>
        <v>181.2077131</v>
      </c>
      <c r="T12" s="165">
        <f>S12*(1+'Ignore This'!$O$6)</f>
        <v>184.8318673</v>
      </c>
      <c r="U12" s="165">
        <f>T12*(1+'Ignore This'!$O$6)</f>
        <v>188.5285047</v>
      </c>
      <c r="V12" s="165">
        <f>U12*(1+'Ignore This'!$O$6)</f>
        <v>192.2990748</v>
      </c>
      <c r="W12" s="165">
        <f>V12*(1+'Ignore This'!$O$6)</f>
        <v>196.1450563</v>
      </c>
      <c r="X12" s="165">
        <f>W12*(1+'Ignore This'!$O$6)</f>
        <v>200.0679574</v>
      </c>
      <c r="Y12" s="165">
        <f>X12*(1+'Ignore This'!$O$6)</f>
        <v>204.0693165</v>
      </c>
      <c r="Z12" s="165">
        <f>Y12*(1+'Ignore This'!$O$6)</f>
        <v>208.1507029</v>
      </c>
      <c r="AA12" s="165">
        <f>Z12*(1+'Ignore This'!$O$6)</f>
        <v>212.3137169</v>
      </c>
      <c r="AB12" s="165">
        <f>AA12*(1+'Ignore This'!$O$6)</f>
        <v>216.5599913</v>
      </c>
      <c r="AC12" s="165">
        <f>AB12*(1+'Ignore This'!$O$6)</f>
        <v>220.8911911</v>
      </c>
      <c r="AD12" s="165">
        <f>AC12*(1+'Ignore This'!$O$6)</f>
        <v>225.3090149</v>
      </c>
      <c r="AE12" s="165">
        <f>AD12*(1+'Ignore This'!$O$6)</f>
        <v>229.8151952</v>
      </c>
      <c r="AF12" s="165">
        <f>AE12*(1+'Ignore This'!$O$6)</f>
        <v>234.4114991</v>
      </c>
      <c r="AG12" s="165">
        <f>AF12*(1+'Ignore This'!$O$6)</f>
        <v>239.0997291</v>
      </c>
    </row>
    <row r="13" ht="15.75" customHeight="1">
      <c r="A13" s="158"/>
      <c r="B13" s="161" t="str">
        <f>'Enter Data Here'!J37</f>
        <v>Monthly Mortgage Insurance ($)</v>
      </c>
      <c r="C13" s="158">
        <f>'Enter Data Here'!L37*12</f>
        <v>0</v>
      </c>
      <c r="D13" s="158">
        <f>C13*(1+'Ignore This'!$O$6)</f>
        <v>0</v>
      </c>
      <c r="E13" s="158">
        <f>D13*(1+'Ignore This'!$O$6)</f>
        <v>0</v>
      </c>
      <c r="F13" s="158">
        <f>E13*(1+'Ignore This'!$O$6)</f>
        <v>0</v>
      </c>
      <c r="G13" s="158">
        <f>F13*(1+'Ignore This'!$O$6)</f>
        <v>0</v>
      </c>
      <c r="H13" s="158">
        <f>G13*(1+'Ignore This'!$O$6)</f>
        <v>0</v>
      </c>
      <c r="I13" s="158">
        <f>H13*(1+'Ignore This'!$O$6)</f>
        <v>0</v>
      </c>
      <c r="J13" s="158">
        <f>I13*(1+'Ignore This'!$O$6)</f>
        <v>0</v>
      </c>
      <c r="K13" s="158">
        <f>J13*(1+'Ignore This'!$O$6)</f>
        <v>0</v>
      </c>
      <c r="L13" s="158">
        <f>K13*(1+'Ignore This'!$O$6)</f>
        <v>0</v>
      </c>
      <c r="M13" s="158">
        <f>L13*(1+'Ignore This'!$O$6)</f>
        <v>0</v>
      </c>
      <c r="N13" s="158">
        <f>M13*(1+'Ignore This'!$O$6)</f>
        <v>0</v>
      </c>
      <c r="O13" s="158">
        <f>N13*(1+'Ignore This'!$O$6)</f>
        <v>0</v>
      </c>
      <c r="P13" s="158">
        <f>O13*(1+'Ignore This'!$O$6)</f>
        <v>0</v>
      </c>
      <c r="Q13" s="158">
        <f>P13*(1+'Ignore This'!$O$6)</f>
        <v>0</v>
      </c>
      <c r="R13" s="158">
        <f>Q13*(1+'Ignore This'!$O$6)</f>
        <v>0</v>
      </c>
      <c r="S13" s="158">
        <f>R13*(1+'Ignore This'!$O$6)</f>
        <v>0</v>
      </c>
      <c r="T13" s="158">
        <f>S13*(1+'Ignore This'!$O$6)</f>
        <v>0</v>
      </c>
      <c r="U13" s="158">
        <f>T13*(1+'Ignore This'!$O$6)</f>
        <v>0</v>
      </c>
      <c r="V13" s="158">
        <f>U13*(1+'Ignore This'!$O$6)</f>
        <v>0</v>
      </c>
      <c r="W13" s="158">
        <f>V13*(1+'Ignore This'!$O$6)</f>
        <v>0</v>
      </c>
      <c r="X13" s="158">
        <f>W13*(1+'Ignore This'!$O$6)</f>
        <v>0</v>
      </c>
      <c r="Y13" s="158">
        <f>X13*(1+'Ignore This'!$O$6)</f>
        <v>0</v>
      </c>
      <c r="Z13" s="158">
        <f>Y13*(1+'Ignore This'!$O$6)</f>
        <v>0</v>
      </c>
      <c r="AA13" s="158">
        <f>Z13*(1+'Ignore This'!$O$6)</f>
        <v>0</v>
      </c>
      <c r="AB13" s="158">
        <f>AA13*(1+'Ignore This'!$O$6)</f>
        <v>0</v>
      </c>
      <c r="AC13" s="158">
        <f>AB13*(1+'Ignore This'!$O$6)</f>
        <v>0</v>
      </c>
      <c r="AD13" s="158">
        <f>AC13*(1+'Ignore This'!$O$6)</f>
        <v>0</v>
      </c>
      <c r="AE13" s="158">
        <f>AD13*(1+'Ignore This'!$O$6)</f>
        <v>0</v>
      </c>
      <c r="AF13" s="158">
        <f>AE13*(1+'Ignore This'!$O$6)</f>
        <v>0</v>
      </c>
      <c r="AG13" s="158">
        <f>AF13*(1+'Ignore This'!$O$6)</f>
        <v>0</v>
      </c>
    </row>
    <row r="14" ht="15.75" customHeight="1">
      <c r="A14" s="159"/>
      <c r="B14" s="164" t="str">
        <f>'Enter Data Here'!J39</f>
        <v>Property Management Fees (%)</v>
      </c>
      <c r="C14" s="167">
        <f>'Enter Data Here'!$L$39*C6</f>
        <v>0</v>
      </c>
      <c r="D14" s="167">
        <f>D6*'Enter Data Here'!$L$39</f>
        <v>0</v>
      </c>
      <c r="E14" s="167">
        <f>E6*'Enter Data Here'!$L$39</f>
        <v>0</v>
      </c>
      <c r="F14" s="167">
        <f>F6*'Enter Data Here'!$L$39</f>
        <v>0</v>
      </c>
      <c r="G14" s="167">
        <f>G6*'Enter Data Here'!$L$39</f>
        <v>0</v>
      </c>
      <c r="H14" s="167">
        <f>H6*'Enter Data Here'!$L$39</f>
        <v>0</v>
      </c>
      <c r="I14" s="167">
        <f>I6*'Enter Data Here'!$L$39</f>
        <v>0</v>
      </c>
      <c r="J14" s="167">
        <f>J6*'Enter Data Here'!$L$39</f>
        <v>0</v>
      </c>
      <c r="K14" s="167">
        <f>K6*'Enter Data Here'!$L$39</f>
        <v>0</v>
      </c>
      <c r="L14" s="167">
        <f>L6*'Enter Data Here'!$L$39</f>
        <v>0</v>
      </c>
      <c r="M14" s="167">
        <f>M6*'Enter Data Here'!$L$39</f>
        <v>0</v>
      </c>
      <c r="N14" s="167">
        <f>N6*'Enter Data Here'!$L$39</f>
        <v>0</v>
      </c>
      <c r="O14" s="167">
        <f>O6*'Enter Data Here'!$L$39</f>
        <v>0</v>
      </c>
      <c r="P14" s="167">
        <f>P6*'Enter Data Here'!$L$39</f>
        <v>0</v>
      </c>
      <c r="Q14" s="167">
        <f>Q6*'Enter Data Here'!$L$39</f>
        <v>0</v>
      </c>
      <c r="R14" s="167">
        <f>R6*'Enter Data Here'!$L$39</f>
        <v>0</v>
      </c>
      <c r="S14" s="167">
        <f>S6*'Enter Data Here'!$L$39</f>
        <v>0</v>
      </c>
      <c r="T14" s="167">
        <f>T6*'Enter Data Here'!$L$39</f>
        <v>0</v>
      </c>
      <c r="U14" s="167">
        <f>U6*'Enter Data Here'!$L$39</f>
        <v>0</v>
      </c>
      <c r="V14" s="167">
        <f>V6*'Enter Data Here'!$L$39</f>
        <v>0</v>
      </c>
      <c r="W14" s="167">
        <f>W6*'Enter Data Here'!$L$39</f>
        <v>0</v>
      </c>
      <c r="X14" s="167">
        <f>X6*'Enter Data Here'!$L$39</f>
        <v>0</v>
      </c>
      <c r="Y14" s="167">
        <f>Y6*'Enter Data Here'!$L$39</f>
        <v>0</v>
      </c>
      <c r="Z14" s="167">
        <f>Z6*'Enter Data Here'!$L$39</f>
        <v>0</v>
      </c>
      <c r="AA14" s="167">
        <f>AA6*'Enter Data Here'!$L$39</f>
        <v>0</v>
      </c>
      <c r="AB14" s="167">
        <f>AB6*'Enter Data Here'!$L$39</f>
        <v>0</v>
      </c>
      <c r="AC14" s="167">
        <f>AC6*'Enter Data Here'!$L$39</f>
        <v>0</v>
      </c>
      <c r="AD14" s="167">
        <f>AD6*'Enter Data Here'!$L$39</f>
        <v>0</v>
      </c>
      <c r="AE14" s="167">
        <f>AE6*'Enter Data Here'!$L$39</f>
        <v>0</v>
      </c>
      <c r="AF14" s="167">
        <f>AF6*'Enter Data Here'!$L$39</f>
        <v>0</v>
      </c>
      <c r="AG14" s="167">
        <f>AG6*'Enter Data Here'!$L$39</f>
        <v>0</v>
      </c>
    </row>
    <row r="15" ht="15.75" customHeight="1">
      <c r="A15" s="158"/>
      <c r="B15" s="161" t="str">
        <f>'Enter Data Here'!N27</f>
        <v>Repairs &amp; Maintenance (%)</v>
      </c>
      <c r="C15" s="162">
        <f>'Enter Data Here'!$P$27*C6</f>
        <v>504.108</v>
      </c>
      <c r="D15" s="162">
        <f>'Enter Data Here'!$P$27*D6</f>
        <v>514.19016</v>
      </c>
      <c r="E15" s="162">
        <f>'Enter Data Here'!$P$27*E6</f>
        <v>524.4739632</v>
      </c>
      <c r="F15" s="162">
        <f>'Enter Data Here'!$P$27*F6</f>
        <v>534.9634425</v>
      </c>
      <c r="G15" s="162">
        <f>'Enter Data Here'!$P$27*G6</f>
        <v>545.6627113</v>
      </c>
      <c r="H15" s="162">
        <f>'Enter Data Here'!$P$27*H6</f>
        <v>556.5759655</v>
      </c>
      <c r="I15" s="162">
        <f>'Enter Data Here'!$P$27*I6</f>
        <v>567.7074849</v>
      </c>
      <c r="J15" s="162">
        <f>'Enter Data Here'!$P$27*J6</f>
        <v>579.0616345</v>
      </c>
      <c r="K15" s="162">
        <f>'Enter Data Here'!$P$27*K6</f>
        <v>590.6428672</v>
      </c>
      <c r="L15" s="162">
        <f>'Enter Data Here'!$P$27*L6</f>
        <v>602.4557246</v>
      </c>
      <c r="M15" s="162">
        <f>'Enter Data Here'!$P$27*M6</f>
        <v>614.5048391</v>
      </c>
      <c r="N15" s="162">
        <f>'Enter Data Here'!$P$27*N6</f>
        <v>626.7949359</v>
      </c>
      <c r="O15" s="162">
        <f>'Enter Data Here'!$P$27*O6</f>
        <v>639.3308346</v>
      </c>
      <c r="P15" s="162">
        <f>'Enter Data Here'!$P$27*P6</f>
        <v>652.1174513</v>
      </c>
      <c r="Q15" s="162">
        <f>'Enter Data Here'!$P$27*Q6</f>
        <v>665.1598003</v>
      </c>
      <c r="R15" s="162">
        <f>'Enter Data Here'!$P$27*R6</f>
        <v>678.4629963</v>
      </c>
      <c r="S15" s="162">
        <f>'Enter Data Here'!$P$27*S6</f>
        <v>692.0322562</v>
      </c>
      <c r="T15" s="162">
        <f>'Enter Data Here'!$P$27*T6</f>
        <v>705.8729013</v>
      </c>
      <c r="U15" s="162">
        <f>'Enter Data Here'!$P$27*U6</f>
        <v>719.9903594</v>
      </c>
      <c r="V15" s="162">
        <f>'Enter Data Here'!$P$27*V6</f>
        <v>734.3901666</v>
      </c>
      <c r="W15" s="162">
        <f>'Enter Data Here'!$P$27*W6</f>
        <v>749.0779699</v>
      </c>
      <c r="X15" s="162">
        <f>'Enter Data Here'!$P$27*X6</f>
        <v>764.0595293</v>
      </c>
      <c r="Y15" s="162">
        <f>'Enter Data Here'!$P$27*Y6</f>
        <v>779.3407199</v>
      </c>
      <c r="Z15" s="162">
        <f>'Enter Data Here'!$P$27*Z6</f>
        <v>794.9275343</v>
      </c>
      <c r="AA15" s="162">
        <f>'Enter Data Here'!$P$27*AA6</f>
        <v>810.826085</v>
      </c>
      <c r="AB15" s="162">
        <f>'Enter Data Here'!$P$27*AB6</f>
        <v>827.0426067</v>
      </c>
      <c r="AC15" s="162">
        <f>'Enter Data Here'!$P$27*AC6</f>
        <v>843.5834588</v>
      </c>
      <c r="AD15" s="162">
        <f>'Enter Data Here'!$P$27*AD6</f>
        <v>860.455128</v>
      </c>
      <c r="AE15" s="162">
        <f>'Enter Data Here'!$P$27*AE6</f>
        <v>877.6642305</v>
      </c>
      <c r="AF15" s="162">
        <f>'Enter Data Here'!$P$27*AF6</f>
        <v>895.2175151</v>
      </c>
      <c r="AG15" s="162">
        <f>'Enter Data Here'!$P$27*AG6</f>
        <v>913.1218654</v>
      </c>
    </row>
    <row r="16" ht="15.75" customHeight="1">
      <c r="A16" s="159"/>
      <c r="B16" s="164" t="str">
        <f>'Enter Data Here'!N29</f>
        <v>Utilities ($)</v>
      </c>
      <c r="C16" s="165">
        <f>'Enter Data Here'!P29*12</f>
        <v>0</v>
      </c>
      <c r="D16" s="165">
        <f>C16*(1+'Ignore This'!$O$6)</f>
        <v>0</v>
      </c>
      <c r="E16" s="165">
        <f>D16*(1+'Ignore This'!$O$6)</f>
        <v>0</v>
      </c>
      <c r="F16" s="165">
        <f>E16*(1+'Ignore This'!$O$6)</f>
        <v>0</v>
      </c>
      <c r="G16" s="165">
        <f>F16*(1+'Ignore This'!$O$6)</f>
        <v>0</v>
      </c>
      <c r="H16" s="165">
        <f>G16*(1+'Ignore This'!$O$6)</f>
        <v>0</v>
      </c>
      <c r="I16" s="165">
        <f>H16*(1+'Ignore This'!$O$6)</f>
        <v>0</v>
      </c>
      <c r="J16" s="165">
        <f>I16*(1+'Ignore This'!$O$6)</f>
        <v>0</v>
      </c>
      <c r="K16" s="165">
        <f>J16*(1+'Ignore This'!$O$6)</f>
        <v>0</v>
      </c>
      <c r="L16" s="165">
        <f>K16*(1+'Ignore This'!$O$6)</f>
        <v>0</v>
      </c>
      <c r="M16" s="165">
        <f>L16*(1+'Ignore This'!$O$6)</f>
        <v>0</v>
      </c>
      <c r="N16" s="165">
        <f>M16*(1+'Ignore This'!$O$6)</f>
        <v>0</v>
      </c>
      <c r="O16" s="165">
        <f>N16*(1+'Ignore This'!$O$6)</f>
        <v>0</v>
      </c>
      <c r="P16" s="165">
        <f>O16*(1+'Ignore This'!$O$6)</f>
        <v>0</v>
      </c>
      <c r="Q16" s="165">
        <f>P16*(1+'Ignore This'!$O$6)</f>
        <v>0</v>
      </c>
      <c r="R16" s="165">
        <f>Q16*(1+'Ignore This'!$O$6)</f>
        <v>0</v>
      </c>
      <c r="S16" s="165">
        <f>R16*(1+'Ignore This'!$O$6)</f>
        <v>0</v>
      </c>
      <c r="T16" s="165">
        <f>S16*(1+'Ignore This'!$O$6)</f>
        <v>0</v>
      </c>
      <c r="U16" s="165">
        <f>T16*(1+'Ignore This'!$O$6)</f>
        <v>0</v>
      </c>
      <c r="V16" s="165">
        <f>U16*(1+'Ignore This'!$O$6)</f>
        <v>0</v>
      </c>
      <c r="W16" s="165">
        <f>V16*(1+'Ignore This'!$O$6)</f>
        <v>0</v>
      </c>
      <c r="X16" s="165">
        <f>W16*(1+'Ignore This'!$O$6)</f>
        <v>0</v>
      </c>
      <c r="Y16" s="165">
        <f>X16*(1+'Ignore This'!$O$6)</f>
        <v>0</v>
      </c>
      <c r="Z16" s="165">
        <f>Y16*(1+'Ignore This'!$O$6)</f>
        <v>0</v>
      </c>
      <c r="AA16" s="165">
        <f>Z16*(1+'Ignore This'!$O$6)</f>
        <v>0</v>
      </c>
      <c r="AB16" s="165">
        <f>AA16*(1+'Ignore This'!$O$6)</f>
        <v>0</v>
      </c>
      <c r="AC16" s="165">
        <f>AB16*(1+'Ignore This'!$O$6)</f>
        <v>0</v>
      </c>
      <c r="AD16" s="165">
        <f>AC16*(1+'Ignore This'!$O$6)</f>
        <v>0</v>
      </c>
      <c r="AE16" s="165">
        <f>AD16*(1+'Ignore This'!$O$6)</f>
        <v>0</v>
      </c>
      <c r="AF16" s="165">
        <f>AE16*(1+'Ignore This'!$O$6)</f>
        <v>0</v>
      </c>
      <c r="AG16" s="165">
        <f>AF16*(1+'Ignore This'!$O$6)</f>
        <v>0</v>
      </c>
    </row>
    <row r="17" ht="15.75" customHeight="1">
      <c r="A17" s="158"/>
      <c r="B17" s="161" t="str">
        <f>'Enter Data Here'!N33</f>
        <v>Capital Expenditure (%)</v>
      </c>
      <c r="C17" s="162">
        <f>'Enter Data Here'!$P$33*C6</f>
        <v>504.108</v>
      </c>
      <c r="D17" s="162">
        <f>'Enter Data Here'!$P$33*D6</f>
        <v>514.19016</v>
      </c>
      <c r="E17" s="162">
        <f>'Enter Data Here'!$P$33*E6</f>
        <v>524.4739632</v>
      </c>
      <c r="F17" s="162">
        <f>'Enter Data Here'!$P$33*F6</f>
        <v>534.9634425</v>
      </c>
      <c r="G17" s="162">
        <f>'Enter Data Here'!$P$33*G6</f>
        <v>545.6627113</v>
      </c>
      <c r="H17" s="162">
        <f>'Enter Data Here'!$P$33*H6</f>
        <v>556.5759655</v>
      </c>
      <c r="I17" s="162">
        <f>'Enter Data Here'!$P$33*I6</f>
        <v>567.7074849</v>
      </c>
      <c r="J17" s="162">
        <f>'Enter Data Here'!$P$33*J6</f>
        <v>579.0616345</v>
      </c>
      <c r="K17" s="162">
        <f>'Enter Data Here'!$P$33*K6</f>
        <v>590.6428672</v>
      </c>
      <c r="L17" s="162">
        <f>'Enter Data Here'!$P$33*L6</f>
        <v>602.4557246</v>
      </c>
      <c r="M17" s="162">
        <f>'Enter Data Here'!$P$33*M6</f>
        <v>614.5048391</v>
      </c>
      <c r="N17" s="162">
        <f>'Enter Data Here'!$P$33*N6</f>
        <v>626.7949359</v>
      </c>
      <c r="O17" s="162">
        <f>'Enter Data Here'!$P$33*O6</f>
        <v>639.3308346</v>
      </c>
      <c r="P17" s="162">
        <f>'Enter Data Here'!$P$33*P6</f>
        <v>652.1174513</v>
      </c>
      <c r="Q17" s="162">
        <f>'Enter Data Here'!$P$33*Q6</f>
        <v>665.1598003</v>
      </c>
      <c r="R17" s="162">
        <f>'Enter Data Here'!$P$33*R6</f>
        <v>678.4629963</v>
      </c>
      <c r="S17" s="162">
        <f>'Enter Data Here'!$P$33*S6</f>
        <v>692.0322562</v>
      </c>
      <c r="T17" s="162">
        <f>'Enter Data Here'!$P$33*T6</f>
        <v>705.8729013</v>
      </c>
      <c r="U17" s="162">
        <f>'Enter Data Here'!$P$33*U6</f>
        <v>719.9903594</v>
      </c>
      <c r="V17" s="162">
        <f>'Enter Data Here'!$P$33*V6</f>
        <v>734.3901666</v>
      </c>
      <c r="W17" s="162">
        <f>'Enter Data Here'!$P$33*W6</f>
        <v>749.0779699</v>
      </c>
      <c r="X17" s="162">
        <f>'Enter Data Here'!$P$33*X6</f>
        <v>764.0595293</v>
      </c>
      <c r="Y17" s="162">
        <f>'Enter Data Here'!$P$33*Y6</f>
        <v>779.3407199</v>
      </c>
      <c r="Z17" s="162">
        <f>'Enter Data Here'!$P$33*Z6</f>
        <v>794.9275343</v>
      </c>
      <c r="AA17" s="162">
        <f>'Enter Data Here'!$P$33*AA6</f>
        <v>810.826085</v>
      </c>
      <c r="AB17" s="162">
        <f>'Enter Data Here'!$P$33*AB6</f>
        <v>827.0426067</v>
      </c>
      <c r="AC17" s="162">
        <f>'Enter Data Here'!$P$33*AC6</f>
        <v>843.5834588</v>
      </c>
      <c r="AD17" s="162">
        <f>'Enter Data Here'!$P$33*AD6</f>
        <v>860.455128</v>
      </c>
      <c r="AE17" s="162">
        <f>'Enter Data Here'!$P$33*AE6</f>
        <v>877.6642305</v>
      </c>
      <c r="AF17" s="162">
        <f>'Enter Data Here'!$P$33*AF6</f>
        <v>895.2175151</v>
      </c>
      <c r="AG17" s="162">
        <f>'Enter Data Here'!$P$33*AG6</f>
        <v>913.1218654</v>
      </c>
    </row>
    <row r="18" ht="15.75" customHeight="1">
      <c r="A18" s="159"/>
      <c r="B18" s="164" t="str">
        <f>'Enter Data Here'!N35</f>
        <v>Pest Control ($)</v>
      </c>
      <c r="C18" s="165">
        <f>'Enter Data Here'!P35*12</f>
        <v>0</v>
      </c>
      <c r="D18" s="165">
        <f>C18*(1+'Ignore This'!$O$6)</f>
        <v>0</v>
      </c>
      <c r="E18" s="165">
        <f>D18*(1+'Ignore This'!$O$6)</f>
        <v>0</v>
      </c>
      <c r="F18" s="165">
        <f>E18*(1+'Ignore This'!$O$6)</f>
        <v>0</v>
      </c>
      <c r="G18" s="165">
        <f>F18*(1+'Ignore This'!$O$6)</f>
        <v>0</v>
      </c>
      <c r="H18" s="165">
        <f>G18*(1+'Ignore This'!$O$6)</f>
        <v>0</v>
      </c>
      <c r="I18" s="165">
        <f>H18*(1+'Ignore This'!$O$6)</f>
        <v>0</v>
      </c>
      <c r="J18" s="165">
        <f>I18*(1+'Ignore This'!$O$6)</f>
        <v>0</v>
      </c>
      <c r="K18" s="165">
        <f>J18*(1+'Ignore This'!$O$6)</f>
        <v>0</v>
      </c>
      <c r="L18" s="165">
        <f>K18*(1+'Ignore This'!$O$6)</f>
        <v>0</v>
      </c>
      <c r="M18" s="165">
        <f>L18*(1+'Ignore This'!$O$6)</f>
        <v>0</v>
      </c>
      <c r="N18" s="165">
        <f>M18*(1+'Ignore This'!$O$6)</f>
        <v>0</v>
      </c>
      <c r="O18" s="165">
        <f>N18*(1+'Ignore This'!$O$6)</f>
        <v>0</v>
      </c>
      <c r="P18" s="165">
        <f>O18*(1+'Ignore This'!$O$6)</f>
        <v>0</v>
      </c>
      <c r="Q18" s="165">
        <f>P18*(1+'Ignore This'!$O$6)</f>
        <v>0</v>
      </c>
      <c r="R18" s="165">
        <f>Q18*(1+'Ignore This'!$O$6)</f>
        <v>0</v>
      </c>
      <c r="S18" s="165">
        <f>R18*(1+'Ignore This'!$O$6)</f>
        <v>0</v>
      </c>
      <c r="T18" s="165">
        <f>S18*(1+'Ignore This'!$O$6)</f>
        <v>0</v>
      </c>
      <c r="U18" s="165">
        <f>T18*(1+'Ignore This'!$O$6)</f>
        <v>0</v>
      </c>
      <c r="V18" s="165">
        <f>U18*(1+'Ignore This'!$O$6)</f>
        <v>0</v>
      </c>
      <c r="W18" s="165">
        <f>V18*(1+'Ignore This'!$O$6)</f>
        <v>0</v>
      </c>
      <c r="X18" s="165">
        <f>W18*(1+'Ignore This'!$O$6)</f>
        <v>0</v>
      </c>
      <c r="Y18" s="165">
        <f>X18*(1+'Ignore This'!$O$6)</f>
        <v>0</v>
      </c>
      <c r="Z18" s="165">
        <f>Y18*(1+'Ignore This'!$O$6)</f>
        <v>0</v>
      </c>
      <c r="AA18" s="165">
        <f>Z18*(1+'Ignore This'!$O$6)</f>
        <v>0</v>
      </c>
      <c r="AB18" s="165">
        <f>AA18*(1+'Ignore This'!$O$6)</f>
        <v>0</v>
      </c>
      <c r="AC18" s="165">
        <f>AB18*(1+'Ignore This'!$O$6)</f>
        <v>0</v>
      </c>
      <c r="AD18" s="165">
        <f>AC18*(1+'Ignore This'!$O$6)</f>
        <v>0</v>
      </c>
      <c r="AE18" s="165">
        <f>AD18*(1+'Ignore This'!$O$6)</f>
        <v>0</v>
      </c>
      <c r="AF18" s="165">
        <f>AE18*(1+'Ignore This'!$O$6)</f>
        <v>0</v>
      </c>
      <c r="AG18" s="165">
        <f>AF18*(1+'Ignore This'!$O$6)</f>
        <v>0</v>
      </c>
    </row>
    <row r="19" ht="15.75" customHeight="1">
      <c r="A19" s="158"/>
      <c r="B19" s="161" t="str">
        <f>'Enter Data Here'!N37</f>
        <v>Landscaping ($)</v>
      </c>
      <c r="C19" s="169">
        <f>'Enter Data Here'!P37*12</f>
        <v>0</v>
      </c>
      <c r="D19" s="169">
        <f>C19*(1+'Ignore This'!$O$6)</f>
        <v>0</v>
      </c>
      <c r="E19" s="169">
        <f>D19*(1+'Ignore This'!$O$6)</f>
        <v>0</v>
      </c>
      <c r="F19" s="169">
        <f>E19*(1+'Ignore This'!$O$6)</f>
        <v>0</v>
      </c>
      <c r="G19" s="169">
        <f>F19*(1+'Ignore This'!$O$6)</f>
        <v>0</v>
      </c>
      <c r="H19" s="169">
        <f>G19*(1+'Ignore This'!$O$6)</f>
        <v>0</v>
      </c>
      <c r="I19" s="169">
        <f>H19*(1+'Ignore This'!$O$6)</f>
        <v>0</v>
      </c>
      <c r="J19" s="169">
        <f>I19*(1+'Ignore This'!$O$6)</f>
        <v>0</v>
      </c>
      <c r="K19" s="169">
        <f>J19*(1+'Ignore This'!$O$6)</f>
        <v>0</v>
      </c>
      <c r="L19" s="169">
        <f>K19*(1+'Ignore This'!$O$6)</f>
        <v>0</v>
      </c>
      <c r="M19" s="169">
        <f>L19*(1+'Ignore This'!$O$6)</f>
        <v>0</v>
      </c>
      <c r="N19" s="169">
        <f>M19*(1+'Ignore This'!$O$6)</f>
        <v>0</v>
      </c>
      <c r="O19" s="169">
        <f>N19*(1+'Ignore This'!$O$6)</f>
        <v>0</v>
      </c>
      <c r="P19" s="169">
        <f>O19*(1+'Ignore This'!$O$6)</f>
        <v>0</v>
      </c>
      <c r="Q19" s="169">
        <f>P19*(1+'Ignore This'!$O$6)</f>
        <v>0</v>
      </c>
      <c r="R19" s="169">
        <f>Q19*(1+'Ignore This'!$O$6)</f>
        <v>0</v>
      </c>
      <c r="S19" s="169">
        <f>R19*(1+'Ignore This'!$O$6)</f>
        <v>0</v>
      </c>
      <c r="T19" s="169">
        <f>S19*(1+'Ignore This'!$O$6)</f>
        <v>0</v>
      </c>
      <c r="U19" s="169">
        <f>T19*(1+'Ignore This'!$O$6)</f>
        <v>0</v>
      </c>
      <c r="V19" s="169">
        <f>U19*(1+'Ignore This'!$O$6)</f>
        <v>0</v>
      </c>
      <c r="W19" s="169">
        <f>V19*(1+'Ignore This'!$O$6)</f>
        <v>0</v>
      </c>
      <c r="X19" s="169">
        <f>W19*(1+'Ignore This'!$O$6)</f>
        <v>0</v>
      </c>
      <c r="Y19" s="169">
        <f>X19*(1+'Ignore This'!$O$6)</f>
        <v>0</v>
      </c>
      <c r="Z19" s="169">
        <f>Y19*(1+'Ignore This'!$O$6)</f>
        <v>0</v>
      </c>
      <c r="AA19" s="169">
        <f>Z19*(1+'Ignore This'!$O$6)</f>
        <v>0</v>
      </c>
      <c r="AB19" s="169">
        <f>AA19*(1+'Ignore This'!$O$6)</f>
        <v>0</v>
      </c>
      <c r="AC19" s="169">
        <f>AB19*(1+'Ignore This'!$O$6)</f>
        <v>0</v>
      </c>
      <c r="AD19" s="169">
        <f>AC19*(1+'Ignore This'!$O$6)</f>
        <v>0</v>
      </c>
      <c r="AE19" s="169">
        <f>AD19*(1+'Ignore This'!$O$6)</f>
        <v>0</v>
      </c>
      <c r="AF19" s="169">
        <f>AE19*(1+'Ignore This'!$O$6)</f>
        <v>0</v>
      </c>
      <c r="AG19" s="169">
        <f>AF19*(1+'Ignore This'!$O$6)</f>
        <v>0</v>
      </c>
    </row>
    <row r="20" ht="15.75" customHeight="1">
      <c r="A20" s="159"/>
      <c r="B20" s="164" t="str">
        <f>'Enter Data Here'!N39</f>
        <v>Other ($)</v>
      </c>
      <c r="C20" s="165">
        <f>'Enter Data Here'!P39*12</f>
        <v>0</v>
      </c>
      <c r="D20" s="165">
        <f>C20*(1+'Ignore This'!$O$6)</f>
        <v>0</v>
      </c>
      <c r="E20" s="165">
        <f>D20*(1+'Ignore This'!$O$6)</f>
        <v>0</v>
      </c>
      <c r="F20" s="165">
        <f>E20*(1+'Ignore This'!$O$6)</f>
        <v>0</v>
      </c>
      <c r="G20" s="165">
        <f>F20*(1+'Ignore This'!$O$6)</f>
        <v>0</v>
      </c>
      <c r="H20" s="165">
        <f>G20*(1+'Ignore This'!$O$6)</f>
        <v>0</v>
      </c>
      <c r="I20" s="165">
        <f>H20*(1+'Ignore This'!$O$6)</f>
        <v>0</v>
      </c>
      <c r="J20" s="165">
        <f>I20*(1+'Ignore This'!$O$6)</f>
        <v>0</v>
      </c>
      <c r="K20" s="165">
        <f>J20*(1+'Ignore This'!$O$6)</f>
        <v>0</v>
      </c>
      <c r="L20" s="165">
        <f>K20*(1+'Ignore This'!$O$6)</f>
        <v>0</v>
      </c>
      <c r="M20" s="165">
        <f>L20*(1+'Ignore This'!$O$6)</f>
        <v>0</v>
      </c>
      <c r="N20" s="165">
        <f>M20*(1+'Ignore This'!$O$6)</f>
        <v>0</v>
      </c>
      <c r="O20" s="165">
        <f>N20*(1+'Ignore This'!$O$6)</f>
        <v>0</v>
      </c>
      <c r="P20" s="165">
        <f>O20*(1+'Ignore This'!$O$6)</f>
        <v>0</v>
      </c>
      <c r="Q20" s="165">
        <f>P20*(1+'Ignore This'!$O$6)</f>
        <v>0</v>
      </c>
      <c r="R20" s="165">
        <f>Q20*(1+'Ignore This'!$O$6)</f>
        <v>0</v>
      </c>
      <c r="S20" s="165">
        <f>R20*(1+'Ignore This'!$O$6)</f>
        <v>0</v>
      </c>
      <c r="T20" s="165">
        <f>S20*(1+'Ignore This'!$O$6)</f>
        <v>0</v>
      </c>
      <c r="U20" s="165">
        <f>T20*(1+'Ignore This'!$O$6)</f>
        <v>0</v>
      </c>
      <c r="V20" s="165">
        <f>U20*(1+'Ignore This'!$O$6)</f>
        <v>0</v>
      </c>
      <c r="W20" s="165">
        <f>V20*(1+'Ignore This'!$O$6)</f>
        <v>0</v>
      </c>
      <c r="X20" s="165">
        <f>W20*(1+'Ignore This'!$O$6)</f>
        <v>0</v>
      </c>
      <c r="Y20" s="165">
        <f>X20*(1+'Ignore This'!$O$6)</f>
        <v>0</v>
      </c>
      <c r="Z20" s="165">
        <f>Y20*(1+'Ignore This'!$O$6)</f>
        <v>0</v>
      </c>
      <c r="AA20" s="165">
        <f>Z20*(1+'Ignore This'!$O$6)</f>
        <v>0</v>
      </c>
      <c r="AB20" s="165">
        <f>AA20*(1+'Ignore This'!$O$6)</f>
        <v>0</v>
      </c>
      <c r="AC20" s="165">
        <f>AB20*(1+'Ignore This'!$O$6)</f>
        <v>0</v>
      </c>
      <c r="AD20" s="165">
        <f>AC20*(1+'Ignore This'!$O$6)</f>
        <v>0</v>
      </c>
      <c r="AE20" s="165">
        <f>AD20*(1+'Ignore This'!$O$6)</f>
        <v>0</v>
      </c>
      <c r="AF20" s="165">
        <f>AE20*(1+'Ignore This'!$O$6)</f>
        <v>0</v>
      </c>
      <c r="AG20" s="165">
        <f>AF20*(1+'Ignore This'!$O$6)</f>
        <v>0</v>
      </c>
    </row>
    <row r="21" ht="15.75" customHeight="1">
      <c r="A21" s="158"/>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row>
    <row r="22" ht="15.75" customHeight="1">
      <c r="A22" s="159"/>
      <c r="B22" s="160" t="s">
        <v>94</v>
      </c>
      <c r="C22" s="167">
        <f t="shared" ref="C22:AG22" si="4">C6</f>
        <v>25205.4</v>
      </c>
      <c r="D22" s="167">
        <f t="shared" si="4"/>
        <v>25709.508</v>
      </c>
      <c r="E22" s="167">
        <f t="shared" si="4"/>
        <v>26223.69816</v>
      </c>
      <c r="F22" s="167">
        <f t="shared" si="4"/>
        <v>26748.17212</v>
      </c>
      <c r="G22" s="167">
        <f t="shared" si="4"/>
        <v>27283.13557</v>
      </c>
      <c r="H22" s="167">
        <f t="shared" si="4"/>
        <v>27828.79828</v>
      </c>
      <c r="I22" s="167">
        <f t="shared" si="4"/>
        <v>28385.37424</v>
      </c>
      <c r="J22" s="167">
        <f t="shared" si="4"/>
        <v>28953.08173</v>
      </c>
      <c r="K22" s="167">
        <f t="shared" si="4"/>
        <v>29532.14336</v>
      </c>
      <c r="L22" s="167">
        <f t="shared" si="4"/>
        <v>30122.78623</v>
      </c>
      <c r="M22" s="167">
        <f t="shared" si="4"/>
        <v>30725.24195</v>
      </c>
      <c r="N22" s="167">
        <f t="shared" si="4"/>
        <v>31339.74679</v>
      </c>
      <c r="O22" s="167">
        <f t="shared" si="4"/>
        <v>31966.54173</v>
      </c>
      <c r="P22" s="167">
        <f t="shared" si="4"/>
        <v>32605.87256</v>
      </c>
      <c r="Q22" s="167">
        <f t="shared" si="4"/>
        <v>33257.99001</v>
      </c>
      <c r="R22" s="167">
        <f t="shared" si="4"/>
        <v>33923.14981</v>
      </c>
      <c r="S22" s="167">
        <f t="shared" si="4"/>
        <v>34601.61281</v>
      </c>
      <c r="T22" s="167">
        <f t="shared" si="4"/>
        <v>35293.64507</v>
      </c>
      <c r="U22" s="167">
        <f t="shared" si="4"/>
        <v>35999.51797</v>
      </c>
      <c r="V22" s="167">
        <f t="shared" si="4"/>
        <v>36719.50833</v>
      </c>
      <c r="W22" s="167">
        <f t="shared" si="4"/>
        <v>37453.89849</v>
      </c>
      <c r="X22" s="167">
        <f t="shared" si="4"/>
        <v>38202.97646</v>
      </c>
      <c r="Y22" s="167">
        <f t="shared" si="4"/>
        <v>38967.03599</v>
      </c>
      <c r="Z22" s="167">
        <f t="shared" si="4"/>
        <v>39746.37671</v>
      </c>
      <c r="AA22" s="167">
        <f t="shared" si="4"/>
        <v>40541.30425</v>
      </c>
      <c r="AB22" s="167">
        <f t="shared" si="4"/>
        <v>41352.13033</v>
      </c>
      <c r="AC22" s="167">
        <f t="shared" si="4"/>
        <v>42179.17294</v>
      </c>
      <c r="AD22" s="167">
        <f t="shared" si="4"/>
        <v>43022.7564</v>
      </c>
      <c r="AE22" s="167">
        <f t="shared" si="4"/>
        <v>43883.21153</v>
      </c>
      <c r="AF22" s="167">
        <f t="shared" si="4"/>
        <v>44760.87576</v>
      </c>
      <c r="AG22" s="167">
        <f t="shared" si="4"/>
        <v>45656.09327</v>
      </c>
    </row>
    <row r="23" ht="15.75" customHeight="1">
      <c r="A23" s="158"/>
      <c r="B23" s="168" t="s">
        <v>96</v>
      </c>
      <c r="C23" s="169">
        <f t="shared" ref="C23:AG23" si="5">SUM(C9:C20)</f>
        <v>4188.216</v>
      </c>
      <c r="D23" s="169">
        <f t="shared" si="5"/>
        <v>4271.98032</v>
      </c>
      <c r="E23" s="169">
        <f t="shared" si="5"/>
        <v>4357.419926</v>
      </c>
      <c r="F23" s="169">
        <f t="shared" si="5"/>
        <v>4444.568325</v>
      </c>
      <c r="G23" s="169">
        <f t="shared" si="5"/>
        <v>4533.459691</v>
      </c>
      <c r="H23" s="169">
        <f t="shared" si="5"/>
        <v>4624.128885</v>
      </c>
      <c r="I23" s="169">
        <f t="shared" si="5"/>
        <v>4716.611463</v>
      </c>
      <c r="J23" s="169">
        <f t="shared" si="5"/>
        <v>4810.943692</v>
      </c>
      <c r="K23" s="169">
        <f t="shared" si="5"/>
        <v>4907.162566</v>
      </c>
      <c r="L23" s="169">
        <f t="shared" si="5"/>
        <v>5005.305817</v>
      </c>
      <c r="M23" s="169">
        <f t="shared" si="5"/>
        <v>5105.411934</v>
      </c>
      <c r="N23" s="169">
        <f t="shared" si="5"/>
        <v>5207.520172</v>
      </c>
      <c r="O23" s="169">
        <f t="shared" si="5"/>
        <v>5311.670576</v>
      </c>
      <c r="P23" s="169">
        <f t="shared" si="5"/>
        <v>5417.903987</v>
      </c>
      <c r="Q23" s="169">
        <f t="shared" si="5"/>
        <v>5526.262067</v>
      </c>
      <c r="R23" s="169">
        <f t="shared" si="5"/>
        <v>5636.787308</v>
      </c>
      <c r="S23" s="169">
        <f t="shared" si="5"/>
        <v>5749.523055</v>
      </c>
      <c r="T23" s="169">
        <f t="shared" si="5"/>
        <v>5864.513516</v>
      </c>
      <c r="U23" s="169">
        <f t="shared" si="5"/>
        <v>5981.803786</v>
      </c>
      <c r="V23" s="169">
        <f t="shared" si="5"/>
        <v>6101.439862</v>
      </c>
      <c r="W23" s="169">
        <f t="shared" si="5"/>
        <v>6223.468659</v>
      </c>
      <c r="X23" s="169">
        <f t="shared" si="5"/>
        <v>6347.938032</v>
      </c>
      <c r="Y23" s="169">
        <f t="shared" si="5"/>
        <v>6474.896793</v>
      </c>
      <c r="Z23" s="169">
        <f t="shared" si="5"/>
        <v>6604.394729</v>
      </c>
      <c r="AA23" s="169">
        <f t="shared" si="5"/>
        <v>6736.482623</v>
      </c>
      <c r="AB23" s="169">
        <f t="shared" si="5"/>
        <v>6871.212276</v>
      </c>
      <c r="AC23" s="169">
        <f t="shared" si="5"/>
        <v>7008.636521</v>
      </c>
      <c r="AD23" s="169">
        <f t="shared" si="5"/>
        <v>7148.809252</v>
      </c>
      <c r="AE23" s="169">
        <f t="shared" si="5"/>
        <v>7291.785437</v>
      </c>
      <c r="AF23" s="169">
        <f t="shared" si="5"/>
        <v>7437.621145</v>
      </c>
      <c r="AG23" s="169">
        <f t="shared" si="5"/>
        <v>7586.373568</v>
      </c>
    </row>
    <row r="24" ht="15.75" customHeight="1">
      <c r="A24" s="159"/>
      <c r="B24" s="160" t="s">
        <v>97</v>
      </c>
      <c r="C24" s="165">
        <f t="shared" ref="C24:AG24" si="6">SUM(C8:C20)</f>
        <v>24247.06584</v>
      </c>
      <c r="D24" s="165">
        <f t="shared" si="6"/>
        <v>24330.83016</v>
      </c>
      <c r="E24" s="165">
        <f t="shared" si="6"/>
        <v>24416.26977</v>
      </c>
      <c r="F24" s="165">
        <f t="shared" si="6"/>
        <v>24503.41816</v>
      </c>
      <c r="G24" s="165">
        <f t="shared" si="6"/>
        <v>24592.30953</v>
      </c>
      <c r="H24" s="165">
        <f t="shared" si="6"/>
        <v>24682.97872</v>
      </c>
      <c r="I24" s="165">
        <f t="shared" si="6"/>
        <v>24775.4613</v>
      </c>
      <c r="J24" s="165">
        <f t="shared" si="6"/>
        <v>24869.79353</v>
      </c>
      <c r="K24" s="165">
        <f t="shared" si="6"/>
        <v>24966.01241</v>
      </c>
      <c r="L24" s="165">
        <f t="shared" si="6"/>
        <v>25064.15566</v>
      </c>
      <c r="M24" s="165">
        <f t="shared" si="6"/>
        <v>25164.26177</v>
      </c>
      <c r="N24" s="165">
        <f t="shared" si="6"/>
        <v>25266.37001</v>
      </c>
      <c r="O24" s="165">
        <f t="shared" si="6"/>
        <v>25370.52042</v>
      </c>
      <c r="P24" s="165">
        <f t="shared" si="6"/>
        <v>25476.75383</v>
      </c>
      <c r="Q24" s="165">
        <f t="shared" si="6"/>
        <v>25585.11191</v>
      </c>
      <c r="R24" s="165">
        <f t="shared" si="6"/>
        <v>25695.63715</v>
      </c>
      <c r="S24" s="165">
        <f t="shared" si="6"/>
        <v>25808.37289</v>
      </c>
      <c r="T24" s="165">
        <f t="shared" si="6"/>
        <v>25923.36336</v>
      </c>
      <c r="U24" s="165">
        <f t="shared" si="6"/>
        <v>26040.65363</v>
      </c>
      <c r="V24" s="165">
        <f t="shared" si="6"/>
        <v>26160.2897</v>
      </c>
      <c r="W24" s="165">
        <f t="shared" si="6"/>
        <v>26282.3185</v>
      </c>
      <c r="X24" s="165">
        <f t="shared" si="6"/>
        <v>26406.78787</v>
      </c>
      <c r="Y24" s="165">
        <f t="shared" si="6"/>
        <v>26533.74663</v>
      </c>
      <c r="Z24" s="165">
        <f t="shared" si="6"/>
        <v>26663.24457</v>
      </c>
      <c r="AA24" s="165">
        <f t="shared" si="6"/>
        <v>26795.33246</v>
      </c>
      <c r="AB24" s="165">
        <f t="shared" si="6"/>
        <v>26930.06212</v>
      </c>
      <c r="AC24" s="165">
        <f t="shared" si="6"/>
        <v>27067.48636</v>
      </c>
      <c r="AD24" s="165">
        <f t="shared" si="6"/>
        <v>27207.65909</v>
      </c>
      <c r="AE24" s="165">
        <f t="shared" si="6"/>
        <v>27350.63528</v>
      </c>
      <c r="AF24" s="165">
        <f t="shared" si="6"/>
        <v>27496.47099</v>
      </c>
      <c r="AG24" s="165">
        <f t="shared" si="6"/>
        <v>27645.22341</v>
      </c>
    </row>
    <row r="25" ht="15.75" customHeight="1">
      <c r="A25" s="158"/>
      <c r="B25" s="16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row>
    <row r="26" ht="15.75" customHeight="1">
      <c r="A26" s="159"/>
      <c r="B26" s="160" t="s">
        <v>56</v>
      </c>
      <c r="C26" s="167">
        <f t="shared" ref="C26:AG26" si="7">C22-C24</f>
        <v>958.3341604</v>
      </c>
      <c r="D26" s="167">
        <f t="shared" si="7"/>
        <v>1378.67784</v>
      </c>
      <c r="E26" s="167">
        <f t="shared" si="7"/>
        <v>1807.428394</v>
      </c>
      <c r="F26" s="167">
        <f t="shared" si="7"/>
        <v>2244.753959</v>
      </c>
      <c r="G26" s="167">
        <f t="shared" si="7"/>
        <v>2690.826035</v>
      </c>
      <c r="H26" s="167">
        <f t="shared" si="7"/>
        <v>3145.819552</v>
      </c>
      <c r="I26" s="167">
        <f t="shared" si="7"/>
        <v>3609.91294</v>
      </c>
      <c r="J26" s="167">
        <f t="shared" si="7"/>
        <v>4083.288196</v>
      </c>
      <c r="K26" s="167">
        <f t="shared" si="7"/>
        <v>4566.130956</v>
      </c>
      <c r="L26" s="167">
        <f t="shared" si="7"/>
        <v>5058.630572</v>
      </c>
      <c r="M26" s="167">
        <f t="shared" si="7"/>
        <v>5560.98018</v>
      </c>
      <c r="N26" s="167">
        <f t="shared" si="7"/>
        <v>6073.376781</v>
      </c>
      <c r="O26" s="167">
        <f t="shared" si="7"/>
        <v>6596.021313</v>
      </c>
      <c r="P26" s="167">
        <f t="shared" si="7"/>
        <v>7129.118736</v>
      </c>
      <c r="Q26" s="167">
        <f t="shared" si="7"/>
        <v>7672.878108</v>
      </c>
      <c r="R26" s="167">
        <f t="shared" si="7"/>
        <v>8227.512667</v>
      </c>
      <c r="S26" s="167">
        <f t="shared" si="7"/>
        <v>8793.239917</v>
      </c>
      <c r="T26" s="167">
        <f t="shared" si="7"/>
        <v>9370.281712</v>
      </c>
      <c r="U26" s="167">
        <f t="shared" si="7"/>
        <v>9958.864343</v>
      </c>
      <c r="V26" s="167">
        <f t="shared" si="7"/>
        <v>10559.21863</v>
      </c>
      <c r="W26" s="167">
        <f t="shared" si="7"/>
        <v>11171.58</v>
      </c>
      <c r="X26" s="167">
        <f t="shared" si="7"/>
        <v>11796.18859</v>
      </c>
      <c r="Y26" s="167">
        <f t="shared" si="7"/>
        <v>12433.28936</v>
      </c>
      <c r="Z26" s="167">
        <f t="shared" si="7"/>
        <v>13083.13215</v>
      </c>
      <c r="AA26" s="167">
        <f t="shared" si="7"/>
        <v>13745.97179</v>
      </c>
      <c r="AB26" s="167">
        <f t="shared" si="7"/>
        <v>14422.06822</v>
      </c>
      <c r="AC26" s="167">
        <f t="shared" si="7"/>
        <v>15111.68658</v>
      </c>
      <c r="AD26" s="167">
        <f t="shared" si="7"/>
        <v>15815.09731</v>
      </c>
      <c r="AE26" s="167">
        <f t="shared" si="7"/>
        <v>16532.57625</v>
      </c>
      <c r="AF26" s="167">
        <f t="shared" si="7"/>
        <v>17264.40477</v>
      </c>
      <c r="AG26" s="167">
        <f t="shared" si="7"/>
        <v>18010.86986</v>
      </c>
    </row>
    <row r="27" ht="15.75" customHeight="1">
      <c r="A27" s="158"/>
      <c r="B27" s="168" t="s">
        <v>98</v>
      </c>
      <c r="C27" s="170">
        <f>C26/'Enter Data Here'!$F$39</f>
        <v>0.00819089026</v>
      </c>
      <c r="D27" s="170">
        <f>D26/'Enter Data Here'!$F$39</f>
        <v>0.01178357129</v>
      </c>
      <c r="E27" s="170">
        <f>E26/'Enter Data Here'!$F$39</f>
        <v>0.01544810593</v>
      </c>
      <c r="F27" s="170">
        <f>F26/'Enter Data Here'!$F$39</f>
        <v>0.01918593127</v>
      </c>
      <c r="G27" s="170">
        <f>G26/'Enter Data Here'!$F$39</f>
        <v>0.02299851312</v>
      </c>
      <c r="H27" s="170">
        <f>H26/'Enter Data Here'!$F$39</f>
        <v>0.0268873466</v>
      </c>
      <c r="I27" s="170">
        <f>I26/'Enter Data Here'!$F$39</f>
        <v>0.03085395675</v>
      </c>
      <c r="J27" s="170">
        <f>J26/'Enter Data Here'!$F$39</f>
        <v>0.03489989911</v>
      </c>
      <c r="K27" s="170">
        <f>K26/'Enter Data Here'!$F$39</f>
        <v>0.03902676031</v>
      </c>
      <c r="L27" s="170">
        <f>L26/'Enter Data Here'!$F$39</f>
        <v>0.04323615874</v>
      </c>
      <c r="M27" s="170">
        <f>M26/'Enter Data Here'!$F$39</f>
        <v>0.04752974513</v>
      </c>
      <c r="N27" s="170">
        <f>N26/'Enter Data Here'!$F$39</f>
        <v>0.05190920325</v>
      </c>
      <c r="O27" s="170">
        <f>O26/'Enter Data Here'!$F$39</f>
        <v>0.05637625054</v>
      </c>
      <c r="P27" s="170">
        <f>P26/'Enter Data Here'!$F$39</f>
        <v>0.06093263877</v>
      </c>
      <c r="Q27" s="170">
        <f>Q26/'Enter Data Here'!$F$39</f>
        <v>0.06558015477</v>
      </c>
      <c r="R27" s="170">
        <f>R26/'Enter Data Here'!$F$39</f>
        <v>0.07032062108</v>
      </c>
      <c r="S27" s="170">
        <f>S26/'Enter Data Here'!$F$39</f>
        <v>0.07515589673</v>
      </c>
      <c r="T27" s="170">
        <f>T26/'Enter Data Here'!$F$39</f>
        <v>0.08008787788</v>
      </c>
      <c r="U27" s="170">
        <f>U26/'Enter Data Here'!$F$39</f>
        <v>0.08511849866</v>
      </c>
      <c r="V27" s="170">
        <f>V26/'Enter Data Here'!$F$39</f>
        <v>0.09024973185</v>
      </c>
      <c r="W27" s="170">
        <f>W26/'Enter Data Here'!$F$39</f>
        <v>0.09548358971</v>
      </c>
      <c r="X27" s="170">
        <f>X26/'Enter Data Here'!$F$39</f>
        <v>0.1008221247</v>
      </c>
      <c r="Y27" s="170">
        <f>Y26/'Enter Data Here'!$F$39</f>
        <v>0.1062674304</v>
      </c>
      <c r="Z27" s="170">
        <f>Z26/'Enter Data Here'!$F$39</f>
        <v>0.1118216423</v>
      </c>
      <c r="AA27" s="170">
        <f>AA26/'Enter Data Here'!$F$39</f>
        <v>0.1174869383</v>
      </c>
      <c r="AB27" s="170">
        <f>AB26/'Enter Data Here'!$F$39</f>
        <v>0.1232655403</v>
      </c>
      <c r="AC27" s="170">
        <f>AC26/'Enter Data Here'!$F$39</f>
        <v>0.1291597143</v>
      </c>
      <c r="AD27" s="170">
        <f>AD26/'Enter Data Here'!$F$39</f>
        <v>0.1351717719</v>
      </c>
      <c r="AE27" s="170">
        <f>AE26/'Enter Data Here'!$F$39</f>
        <v>0.1413040705</v>
      </c>
      <c r="AF27" s="170">
        <f>AF26/'Enter Data Here'!$F$39</f>
        <v>0.1475590151</v>
      </c>
      <c r="AG27" s="170">
        <f>AG26/'Enter Data Here'!$F$39</f>
        <v>0.1539390587</v>
      </c>
    </row>
    <row r="28" ht="15.75" customHeight="1">
      <c r="A28" s="159"/>
      <c r="B28" s="160"/>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row>
    <row r="29" ht="15.75" customHeight="1">
      <c r="A29" s="158"/>
      <c r="B29" s="16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row>
    <row r="30" ht="15.75" customHeight="1">
      <c r="A30" s="159"/>
      <c r="B30" s="160" t="s">
        <v>99</v>
      </c>
      <c r="C30" s="167">
        <f t="shared" ref="C30:AG30" si="8">C6-C23</f>
        <v>21017.184</v>
      </c>
      <c r="D30" s="167">
        <f t="shared" si="8"/>
        <v>21437.52768</v>
      </c>
      <c r="E30" s="167">
        <f t="shared" si="8"/>
        <v>21866.27823</v>
      </c>
      <c r="F30" s="167">
        <f t="shared" si="8"/>
        <v>22303.6038</v>
      </c>
      <c r="G30" s="167">
        <f t="shared" si="8"/>
        <v>22749.67587</v>
      </c>
      <c r="H30" s="167">
        <f t="shared" si="8"/>
        <v>23204.66939</v>
      </c>
      <c r="I30" s="167">
        <f t="shared" si="8"/>
        <v>23668.76278</v>
      </c>
      <c r="J30" s="167">
        <f t="shared" si="8"/>
        <v>24142.13804</v>
      </c>
      <c r="K30" s="167">
        <f t="shared" si="8"/>
        <v>24624.9808</v>
      </c>
      <c r="L30" s="167">
        <f t="shared" si="8"/>
        <v>25117.48041</v>
      </c>
      <c r="M30" s="167">
        <f t="shared" si="8"/>
        <v>25619.83002</v>
      </c>
      <c r="N30" s="167">
        <f t="shared" si="8"/>
        <v>26132.22662</v>
      </c>
      <c r="O30" s="167">
        <f t="shared" si="8"/>
        <v>26654.87115</v>
      </c>
      <c r="P30" s="167">
        <f t="shared" si="8"/>
        <v>27187.96858</v>
      </c>
      <c r="Q30" s="167">
        <f t="shared" si="8"/>
        <v>27731.72795</v>
      </c>
      <c r="R30" s="167">
        <f t="shared" si="8"/>
        <v>28286.36251</v>
      </c>
      <c r="S30" s="167">
        <f t="shared" si="8"/>
        <v>28852.08976</v>
      </c>
      <c r="T30" s="167">
        <f t="shared" si="8"/>
        <v>29429.13155</v>
      </c>
      <c r="U30" s="167">
        <f t="shared" si="8"/>
        <v>30017.71418</v>
      </c>
      <c r="V30" s="167">
        <f t="shared" si="8"/>
        <v>30618.06847</v>
      </c>
      <c r="W30" s="167">
        <f t="shared" si="8"/>
        <v>31230.42984</v>
      </c>
      <c r="X30" s="167">
        <f t="shared" si="8"/>
        <v>31855.03843</v>
      </c>
      <c r="Y30" s="167">
        <f t="shared" si="8"/>
        <v>32492.1392</v>
      </c>
      <c r="Z30" s="167">
        <f t="shared" si="8"/>
        <v>33141.98198</v>
      </c>
      <c r="AA30" s="167">
        <f t="shared" si="8"/>
        <v>33804.82162</v>
      </c>
      <c r="AB30" s="167">
        <f t="shared" si="8"/>
        <v>34480.91806</v>
      </c>
      <c r="AC30" s="167">
        <f t="shared" si="8"/>
        <v>35170.53642</v>
      </c>
      <c r="AD30" s="167">
        <f t="shared" si="8"/>
        <v>35873.94715</v>
      </c>
      <c r="AE30" s="167">
        <f t="shared" si="8"/>
        <v>36591.42609</v>
      </c>
      <c r="AF30" s="167">
        <f t="shared" si="8"/>
        <v>37323.25461</v>
      </c>
      <c r="AG30" s="167">
        <f t="shared" si="8"/>
        <v>38069.7197</v>
      </c>
    </row>
    <row r="31" ht="15.75" customHeight="1">
      <c r="A31" s="171"/>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row>
    <row r="32" ht="15.75" customHeight="1">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row>
    <row r="33" ht="15.75" customHeight="1">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row>
    <row r="34" ht="15.75" customHeight="1">
      <c r="A34" s="159"/>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row>
    <row r="35" ht="15.75" customHeight="1">
      <c r="A35" s="158"/>
      <c r="B35" s="168" t="s">
        <v>100</v>
      </c>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row>
    <row r="36" ht="15.75" customHeight="1">
      <c r="A36" s="159"/>
      <c r="B36" s="159" t="s">
        <v>101</v>
      </c>
      <c r="C36" s="172">
        <v>1.0</v>
      </c>
      <c r="D36" s="172">
        <f t="shared" ref="D36:AG36" si="9">1+C36</f>
        <v>2</v>
      </c>
      <c r="E36" s="172">
        <f t="shared" si="9"/>
        <v>3</v>
      </c>
      <c r="F36" s="172">
        <f t="shared" si="9"/>
        <v>4</v>
      </c>
      <c r="G36" s="172">
        <f t="shared" si="9"/>
        <v>5</v>
      </c>
      <c r="H36" s="172">
        <f t="shared" si="9"/>
        <v>6</v>
      </c>
      <c r="I36" s="172">
        <f t="shared" si="9"/>
        <v>7</v>
      </c>
      <c r="J36" s="172">
        <f t="shared" si="9"/>
        <v>8</v>
      </c>
      <c r="K36" s="172">
        <f t="shared" si="9"/>
        <v>9</v>
      </c>
      <c r="L36" s="172">
        <f t="shared" si="9"/>
        <v>10</v>
      </c>
      <c r="M36" s="172">
        <f t="shared" si="9"/>
        <v>11</v>
      </c>
      <c r="N36" s="172">
        <f t="shared" si="9"/>
        <v>12</v>
      </c>
      <c r="O36" s="172">
        <f t="shared" si="9"/>
        <v>13</v>
      </c>
      <c r="P36" s="172">
        <f t="shared" si="9"/>
        <v>14</v>
      </c>
      <c r="Q36" s="172">
        <f t="shared" si="9"/>
        <v>15</v>
      </c>
      <c r="R36" s="172">
        <f t="shared" si="9"/>
        <v>16</v>
      </c>
      <c r="S36" s="172">
        <f t="shared" si="9"/>
        <v>17</v>
      </c>
      <c r="T36" s="172">
        <f t="shared" si="9"/>
        <v>18</v>
      </c>
      <c r="U36" s="172">
        <f t="shared" si="9"/>
        <v>19</v>
      </c>
      <c r="V36" s="172">
        <f t="shared" si="9"/>
        <v>20</v>
      </c>
      <c r="W36" s="172">
        <f t="shared" si="9"/>
        <v>21</v>
      </c>
      <c r="X36" s="172">
        <f t="shared" si="9"/>
        <v>22</v>
      </c>
      <c r="Y36" s="172">
        <f t="shared" si="9"/>
        <v>23</v>
      </c>
      <c r="Z36" s="172">
        <f t="shared" si="9"/>
        <v>24</v>
      </c>
      <c r="AA36" s="172">
        <f t="shared" si="9"/>
        <v>25</v>
      </c>
      <c r="AB36" s="172">
        <f t="shared" si="9"/>
        <v>26</v>
      </c>
      <c r="AC36" s="172">
        <f t="shared" si="9"/>
        <v>27</v>
      </c>
      <c r="AD36" s="172">
        <f t="shared" si="9"/>
        <v>28</v>
      </c>
      <c r="AE36" s="172">
        <f t="shared" si="9"/>
        <v>29</v>
      </c>
      <c r="AF36" s="172">
        <f t="shared" si="9"/>
        <v>30</v>
      </c>
      <c r="AG36" s="172">
        <f t="shared" si="9"/>
        <v>31</v>
      </c>
    </row>
    <row r="37" ht="15.75" customHeight="1">
      <c r="A37" s="158"/>
      <c r="B37" s="158" t="s">
        <v>102</v>
      </c>
      <c r="C37" s="169">
        <f>(1+'Enter Data Here'!L48)*'Enter Data Here'!P14</f>
        <v>0</v>
      </c>
      <c r="D37" s="169">
        <f>C37*(1+'Ignore This'!$O$5)</f>
        <v>0</v>
      </c>
      <c r="E37" s="169">
        <f>D37*(1+'Ignore This'!$O$5)</f>
        <v>0</v>
      </c>
      <c r="F37" s="169">
        <f>E37*(1+'Ignore This'!$O$5)</f>
        <v>0</v>
      </c>
      <c r="G37" s="169">
        <f>F37*(1+'Ignore This'!$O$5)</f>
        <v>0</v>
      </c>
      <c r="H37" s="169">
        <f>G37*(1+'Ignore This'!$O$5)</f>
        <v>0</v>
      </c>
      <c r="I37" s="169">
        <f>H37*(1+'Ignore This'!$O$5)</f>
        <v>0</v>
      </c>
      <c r="J37" s="169">
        <f>I37*(1+'Ignore This'!$O$5)</f>
        <v>0</v>
      </c>
      <c r="K37" s="169">
        <f>J37*(1+'Ignore This'!$O$5)</f>
        <v>0</v>
      </c>
      <c r="L37" s="169">
        <f>K37*(1+'Ignore This'!$O$5)</f>
        <v>0</v>
      </c>
      <c r="M37" s="169">
        <f>L37*(1+'Ignore This'!$O$5)</f>
        <v>0</v>
      </c>
      <c r="N37" s="169">
        <f>M37*(1+'Ignore This'!$O$5)</f>
        <v>0</v>
      </c>
      <c r="O37" s="169">
        <f>N37*(1+'Ignore This'!$O$5)</f>
        <v>0</v>
      </c>
      <c r="P37" s="169">
        <f>O37*(1+'Ignore This'!$O$5)</f>
        <v>0</v>
      </c>
      <c r="Q37" s="169">
        <f>P37*(1+'Ignore This'!$O$5)</f>
        <v>0</v>
      </c>
      <c r="R37" s="169">
        <f>Q37*(1+'Ignore This'!$O$5)</f>
        <v>0</v>
      </c>
      <c r="S37" s="169">
        <f>R37*(1+'Ignore This'!$O$5)</f>
        <v>0</v>
      </c>
      <c r="T37" s="169">
        <f>S37*(1+'Ignore This'!$O$5)</f>
        <v>0</v>
      </c>
      <c r="U37" s="169">
        <f>T37*(1+'Ignore This'!$O$5)</f>
        <v>0</v>
      </c>
      <c r="V37" s="169">
        <f>U37*(1+'Ignore This'!$O$5)</f>
        <v>0</v>
      </c>
      <c r="W37" s="169">
        <f>V37*(1+'Ignore This'!$O$5)</f>
        <v>0</v>
      </c>
      <c r="X37" s="169">
        <f>W37*(1+'Ignore This'!$O$5)</f>
        <v>0</v>
      </c>
      <c r="Y37" s="169">
        <f>X37*(1+'Ignore This'!$O$5)</f>
        <v>0</v>
      </c>
      <c r="Z37" s="169">
        <f>Y37*(1+'Ignore This'!$O$5)</f>
        <v>0</v>
      </c>
      <c r="AA37" s="169">
        <f>Z37*(1+'Ignore This'!$O$5)</f>
        <v>0</v>
      </c>
      <c r="AB37" s="169">
        <f>AA37*(1+'Ignore This'!$O$5)</f>
        <v>0</v>
      </c>
      <c r="AC37" s="169">
        <f>AB37*(1+'Ignore This'!$O$5)</f>
        <v>0</v>
      </c>
      <c r="AD37" s="169">
        <f>AC37*(1+'Ignore This'!$O$5)</f>
        <v>0</v>
      </c>
      <c r="AE37" s="169">
        <f>AD37*(1+'Ignore This'!$O$5)</f>
        <v>0</v>
      </c>
      <c r="AF37" s="169">
        <f>AE37*(1+'Ignore This'!$O$5)</f>
        <v>0</v>
      </c>
      <c r="AG37" s="169">
        <f>AF37*(1+'Ignore This'!$O$5)</f>
        <v>0</v>
      </c>
    </row>
    <row r="38" ht="15.75" customHeight="1">
      <c r="A38" s="173"/>
      <c r="B38" s="173" t="s">
        <v>103</v>
      </c>
      <c r="C38" s="174">
        <f>C30/'Enter Data Here'!$P$46</f>
        <v>420343.68</v>
      </c>
      <c r="D38" s="174">
        <f>D30/'Enter Data Here'!$P$46</f>
        <v>428750.5536</v>
      </c>
      <c r="E38" s="174">
        <f>E30/'Enter Data Here'!$P$46</f>
        <v>437325.5647</v>
      </c>
      <c r="F38" s="174">
        <f>F30/'Enter Data Here'!$P$46</f>
        <v>446072.076</v>
      </c>
      <c r="G38" s="174">
        <f>G30/'Enter Data Here'!$P$46</f>
        <v>454993.5175</v>
      </c>
      <c r="H38" s="174">
        <f>H30/'Enter Data Here'!$P$46</f>
        <v>464093.3878</v>
      </c>
      <c r="I38" s="174">
        <f>I30/'Enter Data Here'!$P$46</f>
        <v>473375.2556</v>
      </c>
      <c r="J38" s="174">
        <f>J30/'Enter Data Here'!$P$46</f>
        <v>482842.7607</v>
      </c>
      <c r="K38" s="174">
        <f>K30/'Enter Data Here'!$P$46</f>
        <v>492499.6159</v>
      </c>
      <c r="L38" s="174">
        <f>L30/'Enter Data Here'!$P$46</f>
        <v>502349.6082</v>
      </c>
      <c r="M38" s="174">
        <f>M30/'Enter Data Here'!$P$46</f>
        <v>512396.6004</v>
      </c>
      <c r="N38" s="174">
        <f>N30/'Enter Data Here'!$P$46</f>
        <v>522644.5324</v>
      </c>
      <c r="O38" s="174">
        <f>O30/'Enter Data Here'!$P$46</f>
        <v>533097.4231</v>
      </c>
      <c r="P38" s="174">
        <f>P30/'Enter Data Here'!$P$46</f>
        <v>543759.3715</v>
      </c>
      <c r="Q38" s="174">
        <f>Q30/'Enter Data Here'!$P$46</f>
        <v>554634.5589</v>
      </c>
      <c r="R38" s="174">
        <f>R30/'Enter Data Here'!$P$46</f>
        <v>565727.2501</v>
      </c>
      <c r="S38" s="174">
        <f>S30/'Enter Data Here'!$P$46</f>
        <v>577041.7951</v>
      </c>
      <c r="T38" s="174">
        <f>T30/'Enter Data Here'!$P$46</f>
        <v>588582.631</v>
      </c>
      <c r="U38" s="174">
        <f>U30/'Enter Data Here'!$P$46</f>
        <v>600354.2837</v>
      </c>
      <c r="V38" s="174">
        <f>V30/'Enter Data Here'!$P$46</f>
        <v>612361.3693</v>
      </c>
      <c r="W38" s="174">
        <f>W30/'Enter Data Here'!$P$46</f>
        <v>624608.5967</v>
      </c>
      <c r="X38" s="174">
        <f>X30/'Enter Data Here'!$P$46</f>
        <v>637100.7686</v>
      </c>
      <c r="Y38" s="174">
        <f>Y30/'Enter Data Here'!$P$46</f>
        <v>649842.784</v>
      </c>
      <c r="Z38" s="174">
        <f>Z30/'Enter Data Here'!$P$46</f>
        <v>662839.6397</v>
      </c>
      <c r="AA38" s="174">
        <f>AA30/'Enter Data Here'!$P$46</f>
        <v>676096.4325</v>
      </c>
      <c r="AB38" s="174">
        <f>AB30/'Enter Data Here'!$P$46</f>
        <v>689618.3611</v>
      </c>
      <c r="AC38" s="174">
        <f>AC30/'Enter Data Here'!$P$46</f>
        <v>703410.7284</v>
      </c>
      <c r="AD38" s="174">
        <f>AD30/'Enter Data Here'!$P$46</f>
        <v>717478.9429</v>
      </c>
      <c r="AE38" s="174">
        <f>AE30/'Enter Data Here'!$P$46</f>
        <v>731828.5218</v>
      </c>
      <c r="AF38" s="174">
        <f>AF30/'Enter Data Here'!$P$46</f>
        <v>746465.0922</v>
      </c>
      <c r="AG38" s="174"/>
    </row>
    <row r="39" ht="15.75" customHeight="1">
      <c r="A39" s="175"/>
      <c r="B39" s="176" t="s">
        <v>104</v>
      </c>
      <c r="C39" s="177">
        <f>IF('Enter Data Here'!$P$20="yes",C38,C37)</f>
        <v>0</v>
      </c>
      <c r="D39" s="177">
        <f>IF('Enter Data Here'!$P$20="yes",D38,D37)</f>
        <v>0</v>
      </c>
      <c r="E39" s="177">
        <f>IF('Enter Data Here'!$P$20="yes",E38,E37)</f>
        <v>0</v>
      </c>
      <c r="F39" s="177">
        <f>IF('Enter Data Here'!$P$20="yes",F38,F37)</f>
        <v>0</v>
      </c>
      <c r="G39" s="177">
        <f>IF('Enter Data Here'!$P$20="yes",G38,G37)</f>
        <v>0</v>
      </c>
      <c r="H39" s="177">
        <f>IF('Enter Data Here'!$P$20="yes",H38,H37)</f>
        <v>0</v>
      </c>
      <c r="I39" s="177">
        <f>IF('Enter Data Here'!$P$20="yes",I38,I37)</f>
        <v>0</v>
      </c>
      <c r="J39" s="177">
        <f>IF('Enter Data Here'!$P$20="yes",J38,J37)</f>
        <v>0</v>
      </c>
      <c r="K39" s="177">
        <f>IF('Enter Data Here'!$P$20="yes",K38,K37)</f>
        <v>0</v>
      </c>
      <c r="L39" s="177">
        <f>IF('Enter Data Here'!$P$20="yes",L38,L37)</f>
        <v>0</v>
      </c>
      <c r="M39" s="177">
        <f>IF('Enter Data Here'!$P$20="yes",M38,M37)</f>
        <v>0</v>
      </c>
      <c r="N39" s="177">
        <f>IF('Enter Data Here'!$P$20="yes",N38,N37)</f>
        <v>0</v>
      </c>
      <c r="O39" s="177">
        <f>IF('Enter Data Here'!$P$20="yes",O38,O37)</f>
        <v>0</v>
      </c>
      <c r="P39" s="177">
        <f>IF('Enter Data Here'!$P$20="yes",P38,P37)</f>
        <v>0</v>
      </c>
      <c r="Q39" s="177">
        <f>IF('Enter Data Here'!$P$20="yes",Q38,Q37)</f>
        <v>0</v>
      </c>
      <c r="R39" s="177">
        <f>IF('Enter Data Here'!$P$20="yes",R38,R37)</f>
        <v>0</v>
      </c>
      <c r="S39" s="177">
        <f>IF('Enter Data Here'!$P$20="yes",S38,S37)</f>
        <v>0</v>
      </c>
      <c r="T39" s="177">
        <f>IF('Enter Data Here'!$P$20="yes",T38,T37)</f>
        <v>0</v>
      </c>
      <c r="U39" s="177">
        <f>IF('Enter Data Here'!$P$20="yes",U38,U37)</f>
        <v>0</v>
      </c>
      <c r="V39" s="177">
        <f>IF('Enter Data Here'!$P$20="yes",V38,V37)</f>
        <v>0</v>
      </c>
      <c r="W39" s="177">
        <f>IF('Enter Data Here'!$P$20="yes",W38,W37)</f>
        <v>0</v>
      </c>
      <c r="X39" s="177">
        <f>IF('Enter Data Here'!$P$20="yes",X38,X37)</f>
        <v>0</v>
      </c>
      <c r="Y39" s="177">
        <f>IF('Enter Data Here'!$P$20="yes",Y38,Y37)</f>
        <v>0</v>
      </c>
      <c r="Z39" s="177">
        <f>IF('Enter Data Here'!$P$20="yes",Z38,Z37)</f>
        <v>0</v>
      </c>
      <c r="AA39" s="177">
        <f>IF('Enter Data Here'!$P$20="yes",AA38,AA37)</f>
        <v>0</v>
      </c>
      <c r="AB39" s="177">
        <f>IF('Enter Data Here'!$P$20="yes",AB38,AB37)</f>
        <v>0</v>
      </c>
      <c r="AC39" s="177">
        <f>IF('Enter Data Here'!$P$20="yes",AC38,AC37)</f>
        <v>0</v>
      </c>
      <c r="AD39" s="177">
        <f>IF('Enter Data Here'!$P$20="yes",AD38,AD37)</f>
        <v>0</v>
      </c>
      <c r="AE39" s="177">
        <f>IF('Enter Data Here'!$P$20="yes",AE38,AE37)</f>
        <v>0</v>
      </c>
      <c r="AF39" s="177">
        <f>IF('Enter Data Here'!$P$20="yes",AF38,AF37)</f>
        <v>0</v>
      </c>
      <c r="AG39" s="177">
        <f>IF('Enter Data Here'!$P$20="yes",AG38,AG37)</f>
        <v>0</v>
      </c>
    </row>
    <row r="40" ht="15.75" customHeight="1">
      <c r="A40" s="159"/>
      <c r="B40" s="159" t="s">
        <v>105</v>
      </c>
      <c r="C40" s="165">
        <f>'Ignore This'!F376</f>
        <v>294077.7625</v>
      </c>
      <c r="D40" s="165">
        <f>'Ignore This'!G376</f>
        <v>290093.7544</v>
      </c>
      <c r="E40" s="165">
        <f>'Ignore This'!I376</f>
        <v>285885.0169</v>
      </c>
      <c r="F40" s="165">
        <f>'Ignore This'!J376</f>
        <v>281438.8736</v>
      </c>
      <c r="G40" s="165">
        <f>'Ignore This'!K376</f>
        <v>276741.9328</v>
      </c>
      <c r="H40" s="165">
        <f>'Ignore This'!L376</f>
        <v>271780.0476</v>
      </c>
      <c r="I40" s="165">
        <f>'Ignore This'!M376</f>
        <v>266538.2731</v>
      </c>
      <c r="J40" s="165">
        <f>'Ignore This'!N376</f>
        <v>261000.8213</v>
      </c>
      <c r="K40" s="165">
        <f>'Ignore This'!O376</f>
        <v>255151.0137</v>
      </c>
      <c r="L40" s="165">
        <f>'Ignore This'!P376</f>
        <v>248971.231</v>
      </c>
      <c r="M40" s="165">
        <f>'Ignore This'!Q376</f>
        <v>242442.86</v>
      </c>
      <c r="N40" s="165">
        <f>'Ignore This'!R376</f>
        <v>235546.2375</v>
      </c>
      <c r="O40" s="165">
        <f>'Ignore This'!S376</f>
        <v>228260.5913</v>
      </c>
      <c r="P40" s="165">
        <f>'Ignore This'!T376</f>
        <v>220563.9774</v>
      </c>
      <c r="Q40" s="165">
        <f>'Ignore This'!U376</f>
        <v>212433.214</v>
      </c>
      <c r="R40" s="165">
        <f>'Ignore This'!V376</f>
        <v>203843.8116</v>
      </c>
      <c r="S40" s="165">
        <f>'Ignore This'!W376</f>
        <v>194769.8994</v>
      </c>
      <c r="T40" s="165">
        <f>'Ignore This'!X376</f>
        <v>185184.1472</v>
      </c>
      <c r="U40" s="165">
        <f>'Ignore This'!Y376</f>
        <v>175057.6832</v>
      </c>
      <c r="V40" s="165">
        <f>'Ignore This'!Z376</f>
        <v>164360.0071</v>
      </c>
      <c r="W40" s="165">
        <f>'Ignore This'!AA376</f>
        <v>153058.8979</v>
      </c>
      <c r="X40" s="165">
        <f>'Ignore This'!AB376</f>
        <v>141120.3174</v>
      </c>
      <c r="Y40" s="165">
        <f>'Ignore This'!AC376</f>
        <v>128508.3071</v>
      </c>
      <c r="Z40" s="165">
        <f>'Ignore This'!AD376</f>
        <v>115184.8803</v>
      </c>
      <c r="AA40" s="165">
        <f>'Ignore This'!AE376</f>
        <v>101109.9074</v>
      </c>
      <c r="AB40" s="165">
        <f>'Ignore This'!AF376</f>
        <v>86240.9955</v>
      </c>
      <c r="AC40" s="165">
        <f>'Ignore This'!AG376</f>
        <v>70533.36006</v>
      </c>
      <c r="AD40" s="165">
        <f>'Ignore This'!AH376</f>
        <v>53939.69051</v>
      </c>
      <c r="AE40" s="165">
        <f>'Ignore This'!AI376</f>
        <v>36410.00756</v>
      </c>
      <c r="AF40" s="165">
        <f>'Ignore This'!AJ376</f>
        <v>17891.51271</v>
      </c>
      <c r="AG40" s="165" t="str">
        <f>'Ignore This'!AK376</f>
        <v/>
      </c>
    </row>
    <row r="41" ht="15.75" customHeight="1">
      <c r="A41" s="158"/>
      <c r="B41" s="158" t="s">
        <v>106</v>
      </c>
      <c r="C41" s="169">
        <f>C37*'Enter Data Here'!$P$48</f>
        <v>0</v>
      </c>
      <c r="D41" s="169">
        <f>D37*'Enter Data Here'!$P$48</f>
        <v>0</v>
      </c>
      <c r="E41" s="169">
        <f>E37*'Enter Data Here'!$P$48</f>
        <v>0</v>
      </c>
      <c r="F41" s="169">
        <f>F37*'Enter Data Here'!$P$48</f>
        <v>0</v>
      </c>
      <c r="G41" s="169">
        <f>G37*'Enter Data Here'!$P$48</f>
        <v>0</v>
      </c>
      <c r="H41" s="169">
        <f>H37*'Enter Data Here'!$P$48</f>
        <v>0</v>
      </c>
      <c r="I41" s="169">
        <f>I37*'Enter Data Here'!$P$48</f>
        <v>0</v>
      </c>
      <c r="J41" s="169">
        <f>J37*'Enter Data Here'!$P$48</f>
        <v>0</v>
      </c>
      <c r="K41" s="169">
        <f>K37*'Enter Data Here'!$P$48</f>
        <v>0</v>
      </c>
      <c r="L41" s="169">
        <f>L37*'Enter Data Here'!$P$48</f>
        <v>0</v>
      </c>
      <c r="M41" s="169">
        <f>M37*'Enter Data Here'!$P$48</f>
        <v>0</v>
      </c>
      <c r="N41" s="169">
        <f>N37*'Enter Data Here'!$P$48</f>
        <v>0</v>
      </c>
      <c r="O41" s="169">
        <f>O37*'Enter Data Here'!$P$48</f>
        <v>0</v>
      </c>
      <c r="P41" s="169">
        <f>P37*'Enter Data Here'!$P$48</f>
        <v>0</v>
      </c>
      <c r="Q41" s="169">
        <f>Q37*'Enter Data Here'!$P$48</f>
        <v>0</v>
      </c>
      <c r="R41" s="169">
        <f>R37*'Enter Data Here'!$P$48</f>
        <v>0</v>
      </c>
      <c r="S41" s="169">
        <f>S37*'Enter Data Here'!$P$48</f>
        <v>0</v>
      </c>
      <c r="T41" s="169">
        <f>T37*'Enter Data Here'!$P$48</f>
        <v>0</v>
      </c>
      <c r="U41" s="169">
        <f>U37*'Enter Data Here'!$P$48</f>
        <v>0</v>
      </c>
      <c r="V41" s="169">
        <f>V37*'Enter Data Here'!$P$48</f>
        <v>0</v>
      </c>
      <c r="W41" s="169">
        <f>W37*'Enter Data Here'!$P$48</f>
        <v>0</v>
      </c>
      <c r="X41" s="169">
        <f>X37*'Enter Data Here'!$P$48</f>
        <v>0</v>
      </c>
      <c r="Y41" s="169">
        <f>Y37*'Enter Data Here'!$P$48</f>
        <v>0</v>
      </c>
      <c r="Z41" s="169">
        <f>Z37*'Enter Data Here'!$P$48</f>
        <v>0</v>
      </c>
      <c r="AA41" s="169">
        <f>AA37*'Enter Data Here'!$P$48</f>
        <v>0</v>
      </c>
      <c r="AB41" s="169">
        <f>AB37*'Enter Data Here'!$P$48</f>
        <v>0</v>
      </c>
      <c r="AC41" s="169">
        <f>AC37*'Enter Data Here'!$P$48</f>
        <v>0</v>
      </c>
      <c r="AD41" s="169">
        <f>AD37*'Enter Data Here'!$P$48</f>
        <v>0</v>
      </c>
      <c r="AE41" s="169">
        <f>AE37*'Enter Data Here'!$P$48</f>
        <v>0</v>
      </c>
      <c r="AF41" s="169">
        <f>AF37*'Enter Data Here'!$P$48</f>
        <v>0</v>
      </c>
      <c r="AG41" s="169">
        <f>AG37*'Enter Data Here'!$P$48</f>
        <v>0</v>
      </c>
    </row>
    <row r="42" ht="15.75" customHeight="1">
      <c r="A42" s="159"/>
      <c r="B42" s="178" t="s">
        <v>107</v>
      </c>
      <c r="C42" s="167">
        <f>'Ignore This'!J15</f>
        <v>958.3341604</v>
      </c>
      <c r="D42" s="167">
        <f>'Ignore This'!K15</f>
        <v>2337.012001</v>
      </c>
      <c r="E42" s="167">
        <f>'Ignore This'!L15</f>
        <v>4144.440395</v>
      </c>
      <c r="F42" s="167">
        <f>'Ignore This'!M15</f>
        <v>6389.194354</v>
      </c>
      <c r="G42" s="167">
        <f>'Ignore This'!N15</f>
        <v>9080.020388</v>
      </c>
      <c r="H42" s="167">
        <f>'Ignore This'!O15</f>
        <v>12225.83994</v>
      </c>
      <c r="I42" s="167">
        <f>'Ignore This'!P15</f>
        <v>15835.75288</v>
      </c>
      <c r="J42" s="167">
        <f>'Ignore This'!Q15</f>
        <v>19919.04108</v>
      </c>
      <c r="K42" s="167">
        <f>'Ignore This'!R15</f>
        <v>24485.17203</v>
      </c>
      <c r="L42" s="167">
        <f>'Ignore This'!S15</f>
        <v>29543.8026</v>
      </c>
      <c r="M42" s="167">
        <f>'Ignore This'!T15</f>
        <v>35104.78278</v>
      </c>
      <c r="N42" s="167">
        <f>'Ignore This'!U15</f>
        <v>41178.15957</v>
      </c>
      <c r="O42" s="167">
        <f>'Ignore This'!V15</f>
        <v>47774.18088</v>
      </c>
      <c r="P42" s="167">
        <f>'Ignore This'!W15</f>
        <v>54903.29962</v>
      </c>
      <c r="Q42" s="167">
        <f>'Ignore This'!X15</f>
        <v>62576.17772</v>
      </c>
      <c r="R42" s="167">
        <f>'Ignore This'!Y15</f>
        <v>70803.69039</v>
      </c>
      <c r="S42" s="167">
        <f>'Ignore This'!Z15</f>
        <v>79596.93031</v>
      </c>
      <c r="T42" s="167">
        <f>'Ignore This'!AA15</f>
        <v>88967.21202</v>
      </c>
      <c r="U42" s="167">
        <f>'Ignore This'!AB15</f>
        <v>98926.07636</v>
      </c>
      <c r="V42" s="167">
        <f>'Ignore This'!AC15</f>
        <v>109485.295</v>
      </c>
      <c r="W42" s="167">
        <f>'Ignore This'!AD15</f>
        <v>120656.875</v>
      </c>
      <c r="X42" s="167">
        <f>'Ignore This'!AE15</f>
        <v>132453.0636</v>
      </c>
      <c r="Y42" s="167">
        <f>'Ignore This'!AF15</f>
        <v>144886.3529</v>
      </c>
      <c r="Z42" s="167">
        <f>'Ignore This'!AG15</f>
        <v>157969.4851</v>
      </c>
      <c r="AA42" s="167">
        <f>'Ignore This'!AH15</f>
        <v>171715.4569</v>
      </c>
      <c r="AB42" s="167">
        <f>'Ignore This'!AI15</f>
        <v>186137.5251</v>
      </c>
      <c r="AC42" s="167">
        <f>'Ignore This'!AJ15</f>
        <v>201249.2117</v>
      </c>
      <c r="AD42" s="167">
        <f>'Ignore This'!AK15</f>
        <v>217064.309</v>
      </c>
      <c r="AE42" s="167">
        <f>'Ignore This'!AL15</f>
        <v>233596.8852</v>
      </c>
      <c r="AF42" s="167">
        <f>'Ignore This'!AM15</f>
        <v>250861.29</v>
      </c>
      <c r="AG42" s="167" t="str">
        <f>'Ignore This'!AN15</f>
        <v/>
      </c>
    </row>
    <row r="43" ht="15.75" customHeight="1">
      <c r="A43" s="158"/>
      <c r="B43" s="179" t="s">
        <v>108</v>
      </c>
      <c r="C43" s="169">
        <f>C46+'Enter Data Here'!$F$39</f>
        <v>-294077.7625</v>
      </c>
      <c r="D43" s="169">
        <f>D46+'Enter Data Here'!$F$39</f>
        <v>-290093.7544</v>
      </c>
      <c r="E43" s="169">
        <f>E46+'Enter Data Here'!$F$39</f>
        <v>-285885.0169</v>
      </c>
      <c r="F43" s="169">
        <f>F46+'Enter Data Here'!$F$39</f>
        <v>-281438.8736</v>
      </c>
      <c r="G43" s="169">
        <f>G46+'Enter Data Here'!$F$39</f>
        <v>-276741.9328</v>
      </c>
      <c r="H43" s="169">
        <f>H46+'Enter Data Here'!$F$39</f>
        <v>-271780.0476</v>
      </c>
      <c r="I43" s="169">
        <f>I46+'Enter Data Here'!$F$39</f>
        <v>-266538.2731</v>
      </c>
      <c r="J43" s="169">
        <f>J46+'Enter Data Here'!$F$39</f>
        <v>-261000.8213</v>
      </c>
      <c r="K43" s="169">
        <f>K46+'Enter Data Here'!$F$39</f>
        <v>-255151.0137</v>
      </c>
      <c r="L43" s="169">
        <f>L46+'Enter Data Here'!$F$39</f>
        <v>-248971.231</v>
      </c>
      <c r="M43" s="169">
        <f>M46+'Enter Data Here'!$F$39</f>
        <v>-242442.86</v>
      </c>
      <c r="N43" s="169">
        <f>N46+'Enter Data Here'!$F$39</f>
        <v>-235546.2375</v>
      </c>
      <c r="O43" s="169">
        <f>O46+'Enter Data Here'!$F$39</f>
        <v>-228260.5913</v>
      </c>
      <c r="P43" s="169">
        <f>P46+'Enter Data Here'!$F$39</f>
        <v>-220563.9774</v>
      </c>
      <c r="Q43" s="169">
        <f>Q46+'Enter Data Here'!$F$39</f>
        <v>-212433.214</v>
      </c>
      <c r="R43" s="169">
        <f>R46+'Enter Data Here'!$F$39</f>
        <v>-203843.8116</v>
      </c>
      <c r="S43" s="169">
        <f>S46+'Enter Data Here'!$F$39</f>
        <v>-194769.8994</v>
      </c>
      <c r="T43" s="169">
        <f>T46+'Enter Data Here'!$F$39</f>
        <v>-185184.1472</v>
      </c>
      <c r="U43" s="169">
        <f>U46+'Enter Data Here'!$F$39</f>
        <v>-175057.6832</v>
      </c>
      <c r="V43" s="169">
        <f>V46+'Enter Data Here'!$F$39</f>
        <v>-164360.0071</v>
      </c>
      <c r="W43" s="169">
        <f>W46+'Enter Data Here'!$F$39</f>
        <v>-153058.8979</v>
      </c>
      <c r="X43" s="169">
        <f>X46+'Enter Data Here'!$F$39</f>
        <v>-141120.3174</v>
      </c>
      <c r="Y43" s="169">
        <f>Y46+'Enter Data Here'!$F$39</f>
        <v>-128508.3071</v>
      </c>
      <c r="Z43" s="169">
        <f>Z46+'Enter Data Here'!$F$39</f>
        <v>-115184.8803</v>
      </c>
      <c r="AA43" s="169">
        <f>AA46+'Enter Data Here'!$F$39</f>
        <v>-101109.9074</v>
      </c>
      <c r="AB43" s="169">
        <f>AB46+'Enter Data Here'!$F$39</f>
        <v>-86240.9955</v>
      </c>
      <c r="AC43" s="169">
        <f>AC46+'Enter Data Here'!$F$39</f>
        <v>-70533.36006</v>
      </c>
      <c r="AD43" s="169">
        <f>AD46+'Enter Data Here'!$F$39</f>
        <v>-53939.69051</v>
      </c>
      <c r="AE43" s="169">
        <f>AE46+'Enter Data Here'!$F$39</f>
        <v>-36410.00756</v>
      </c>
      <c r="AF43" s="169">
        <f>AF46+'Enter Data Here'!$F$39</f>
        <v>-17891.51271</v>
      </c>
      <c r="AG43" s="169">
        <f>AG46+'Enter Data Here'!$F$39</f>
        <v>0</v>
      </c>
    </row>
    <row r="44" ht="15.75" customHeight="1">
      <c r="A44" s="159"/>
      <c r="B44" s="178" t="s">
        <v>109</v>
      </c>
      <c r="C44" s="165">
        <f>'Enter Data Here'!$F$39</f>
        <v>117000</v>
      </c>
      <c r="D44" s="165">
        <f>'Enter Data Here'!$F$39</f>
        <v>117000</v>
      </c>
      <c r="E44" s="165">
        <f>'Enter Data Here'!$F$39</f>
        <v>117000</v>
      </c>
      <c r="F44" s="165">
        <f>'Enter Data Here'!$F$39</f>
        <v>117000</v>
      </c>
      <c r="G44" s="165">
        <f>'Enter Data Here'!$F$39</f>
        <v>117000</v>
      </c>
      <c r="H44" s="165">
        <f>'Enter Data Here'!$F$39</f>
        <v>117000</v>
      </c>
      <c r="I44" s="165">
        <f>'Enter Data Here'!$F$39</f>
        <v>117000</v>
      </c>
      <c r="J44" s="165">
        <f>'Enter Data Here'!$F$39</f>
        <v>117000</v>
      </c>
      <c r="K44" s="165">
        <f>'Enter Data Here'!$F$39</f>
        <v>117000</v>
      </c>
      <c r="L44" s="165">
        <f>'Enter Data Here'!$F$39</f>
        <v>117000</v>
      </c>
      <c r="M44" s="165">
        <f>'Enter Data Here'!$F$39</f>
        <v>117000</v>
      </c>
      <c r="N44" s="165">
        <f>'Enter Data Here'!$F$39</f>
        <v>117000</v>
      </c>
      <c r="O44" s="165">
        <f>'Enter Data Here'!$F$39</f>
        <v>117000</v>
      </c>
      <c r="P44" s="165">
        <f>'Enter Data Here'!$F$39</f>
        <v>117000</v>
      </c>
      <c r="Q44" s="165">
        <f>'Enter Data Here'!$F$39</f>
        <v>117000</v>
      </c>
      <c r="R44" s="165">
        <f>'Enter Data Here'!$F$39</f>
        <v>117000</v>
      </c>
      <c r="S44" s="165">
        <f>'Enter Data Here'!$F$39</f>
        <v>117000</v>
      </c>
      <c r="T44" s="165">
        <f>'Enter Data Here'!$F$39</f>
        <v>117000</v>
      </c>
      <c r="U44" s="165">
        <f>'Enter Data Here'!$F$39</f>
        <v>117000</v>
      </c>
      <c r="V44" s="165">
        <f>'Enter Data Here'!$F$39</f>
        <v>117000</v>
      </c>
      <c r="W44" s="165">
        <f>'Enter Data Here'!$F$39</f>
        <v>117000</v>
      </c>
      <c r="X44" s="165">
        <f>'Enter Data Here'!$F$39</f>
        <v>117000</v>
      </c>
      <c r="Y44" s="165">
        <f>'Enter Data Here'!$F$39</f>
        <v>117000</v>
      </c>
      <c r="Z44" s="165">
        <f>'Enter Data Here'!$F$39</f>
        <v>117000</v>
      </c>
      <c r="AA44" s="165">
        <f>'Enter Data Here'!$F$39</f>
        <v>117000</v>
      </c>
      <c r="AB44" s="165">
        <f>'Enter Data Here'!$F$39</f>
        <v>117000</v>
      </c>
      <c r="AC44" s="165">
        <f>'Enter Data Here'!$F$39</f>
        <v>117000</v>
      </c>
      <c r="AD44" s="165">
        <f>'Enter Data Here'!$F$39</f>
        <v>117000</v>
      </c>
      <c r="AE44" s="165">
        <f>'Enter Data Here'!$F$39</f>
        <v>117000</v>
      </c>
      <c r="AF44" s="165">
        <f>'Enter Data Here'!$F$39</f>
        <v>117000</v>
      </c>
      <c r="AG44" s="165">
        <f>'Enter Data Here'!$F$39</f>
        <v>117000</v>
      </c>
    </row>
    <row r="45" ht="15.75" customHeight="1">
      <c r="A45" s="158"/>
      <c r="B45" s="16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row>
    <row r="46" ht="15.75" customHeight="1">
      <c r="A46" s="159"/>
      <c r="B46" s="160" t="s">
        <v>110</v>
      </c>
      <c r="C46" s="165">
        <f>C39-C41-C40-'Enter Data Here'!$F$39</f>
        <v>-411077.7625</v>
      </c>
      <c r="D46" s="165">
        <f>D39-D41-D40-'Enter Data Here'!$F$39</f>
        <v>-407093.7544</v>
      </c>
      <c r="E46" s="165">
        <f>E39-E41-E40-'Enter Data Here'!$F$39</f>
        <v>-402885.0169</v>
      </c>
      <c r="F46" s="165">
        <f>F39-F41-F40-'Enter Data Here'!$F$39</f>
        <v>-398438.8736</v>
      </c>
      <c r="G46" s="165">
        <f>G39-G41-G40-'Enter Data Here'!$F$39</f>
        <v>-393741.9328</v>
      </c>
      <c r="H46" s="165">
        <f>H39-H41-H40-'Enter Data Here'!$F$39</f>
        <v>-388780.0476</v>
      </c>
      <c r="I46" s="165">
        <f>I39-I41-I40-'Enter Data Here'!$F$39</f>
        <v>-383538.2731</v>
      </c>
      <c r="J46" s="165">
        <f>J39-J41-J40-'Enter Data Here'!$F$39</f>
        <v>-378000.8213</v>
      </c>
      <c r="K46" s="165">
        <f>K39-K41-K40-'Enter Data Here'!$F$39</f>
        <v>-372151.0137</v>
      </c>
      <c r="L46" s="165">
        <f>L39-L41-L40-'Enter Data Here'!$F$39</f>
        <v>-365971.231</v>
      </c>
      <c r="M46" s="165">
        <f>M39-M41-M40-'Enter Data Here'!$F$39</f>
        <v>-359442.86</v>
      </c>
      <c r="N46" s="165">
        <f>N39-N41-N40-'Enter Data Here'!$F$39</f>
        <v>-352546.2375</v>
      </c>
      <c r="O46" s="165">
        <f>O39-O41-O40-'Enter Data Here'!$F$39</f>
        <v>-345260.5913</v>
      </c>
      <c r="P46" s="165">
        <f>P39-P41-P40-'Enter Data Here'!$F$39</f>
        <v>-337563.9774</v>
      </c>
      <c r="Q46" s="165">
        <f>Q39-Q41-Q40-'Enter Data Here'!$F$39</f>
        <v>-329433.214</v>
      </c>
      <c r="R46" s="165">
        <f>R39-R41-R40-'Enter Data Here'!$F$39</f>
        <v>-320843.8116</v>
      </c>
      <c r="S46" s="165">
        <f>S39-S41-S40-'Enter Data Here'!$F$39</f>
        <v>-311769.8994</v>
      </c>
      <c r="T46" s="165">
        <f>T39-T41-T40-'Enter Data Here'!$F$39</f>
        <v>-302184.1472</v>
      </c>
      <c r="U46" s="165">
        <f>U39-U41-U40-'Enter Data Here'!$F$39</f>
        <v>-292057.6832</v>
      </c>
      <c r="V46" s="165">
        <f>V39-V41-V40-'Enter Data Here'!$F$39</f>
        <v>-281360.0071</v>
      </c>
      <c r="W46" s="165">
        <f>W39-W41-W40-'Enter Data Here'!$F$39</f>
        <v>-270058.8979</v>
      </c>
      <c r="X46" s="165">
        <f>X39-X41-X40-'Enter Data Here'!$F$39</f>
        <v>-258120.3174</v>
      </c>
      <c r="Y46" s="165">
        <f>Y39-Y41-Y40-'Enter Data Here'!$F$39</f>
        <v>-245508.3071</v>
      </c>
      <c r="Z46" s="165">
        <f>Z39-Z41-Z40-'Enter Data Here'!$F$39</f>
        <v>-232184.8803</v>
      </c>
      <c r="AA46" s="165">
        <f>AA39-AA41-AA40-'Enter Data Here'!$F$39</f>
        <v>-218109.9074</v>
      </c>
      <c r="AB46" s="165">
        <f>AB39-AB41-AB40-'Enter Data Here'!$F$39</f>
        <v>-203240.9955</v>
      </c>
      <c r="AC46" s="165">
        <f>AC39-AC41-AC40-'Enter Data Here'!$F$39</f>
        <v>-187533.3601</v>
      </c>
      <c r="AD46" s="165">
        <f>AD39-AD41-AD40-'Enter Data Here'!$F$39</f>
        <v>-170939.6905</v>
      </c>
      <c r="AE46" s="165">
        <f>AE39-AE41-AE40-'Enter Data Here'!$F$39</f>
        <v>-153410.0076</v>
      </c>
      <c r="AF46" s="165">
        <f>AF39-AF41-AF40-'Enter Data Here'!$F$39</f>
        <v>-134891.5127</v>
      </c>
      <c r="AG46" s="165">
        <f>AG39-AG41-AG40-'Enter Data Here'!$F$39</f>
        <v>-117000</v>
      </c>
    </row>
    <row r="47" ht="15.75" customHeight="1">
      <c r="A47" s="158"/>
      <c r="B47" s="180" t="s">
        <v>111</v>
      </c>
      <c r="C47" s="170">
        <f t="shared" ref="C47:AF47" si="10">(C42/C44)/C36</f>
        <v>0.00819089026</v>
      </c>
      <c r="D47" s="170">
        <f t="shared" si="10"/>
        <v>0.009987230773</v>
      </c>
      <c r="E47" s="170">
        <f t="shared" si="10"/>
        <v>0.01180752249</v>
      </c>
      <c r="F47" s="170">
        <f t="shared" si="10"/>
        <v>0.01365212469</v>
      </c>
      <c r="G47" s="170">
        <f t="shared" si="10"/>
        <v>0.01552140237</v>
      </c>
      <c r="H47" s="170">
        <f t="shared" si="10"/>
        <v>0.01741572641</v>
      </c>
      <c r="I47" s="170">
        <f t="shared" si="10"/>
        <v>0.0193354736</v>
      </c>
      <c r="J47" s="170">
        <f t="shared" si="10"/>
        <v>0.02128102679</v>
      </c>
      <c r="K47" s="170">
        <f t="shared" si="10"/>
        <v>0.02325277496</v>
      </c>
      <c r="L47" s="170">
        <f t="shared" si="10"/>
        <v>0.02525111334</v>
      </c>
      <c r="M47" s="170">
        <f t="shared" si="10"/>
        <v>0.0272764435</v>
      </c>
      <c r="N47" s="170">
        <f t="shared" si="10"/>
        <v>0.02932917348</v>
      </c>
      <c r="O47" s="170">
        <f t="shared" si="10"/>
        <v>0.03140971787</v>
      </c>
      <c r="P47" s="170">
        <f t="shared" si="10"/>
        <v>0.03351849793</v>
      </c>
      <c r="Q47" s="170">
        <f t="shared" si="10"/>
        <v>0.03565594172</v>
      </c>
      <c r="R47" s="170">
        <f t="shared" si="10"/>
        <v>0.03782248418</v>
      </c>
      <c r="S47" s="170">
        <f t="shared" si="10"/>
        <v>0.04001856727</v>
      </c>
      <c r="T47" s="170">
        <f t="shared" si="10"/>
        <v>0.04224464008</v>
      </c>
      <c r="U47" s="170">
        <f t="shared" si="10"/>
        <v>0.04450115896</v>
      </c>
      <c r="V47" s="170">
        <f t="shared" si="10"/>
        <v>0.0467885876</v>
      </c>
      <c r="W47" s="170">
        <f t="shared" si="10"/>
        <v>0.04910739723</v>
      </c>
      <c r="X47" s="170">
        <f t="shared" si="10"/>
        <v>0.05145806666</v>
      </c>
      <c r="Y47" s="170">
        <f t="shared" si="10"/>
        <v>0.05384108247</v>
      </c>
      <c r="Z47" s="170">
        <f t="shared" si="10"/>
        <v>0.05625693913</v>
      </c>
      <c r="AA47" s="170">
        <f t="shared" si="10"/>
        <v>0.0587061391</v>
      </c>
      <c r="AB47" s="170">
        <f t="shared" si="10"/>
        <v>0.06118919299</v>
      </c>
      <c r="AC47" s="170">
        <f t="shared" si="10"/>
        <v>0.06370661971</v>
      </c>
      <c r="AD47" s="170">
        <f t="shared" si="10"/>
        <v>0.06625894657</v>
      </c>
      <c r="AE47" s="170">
        <f t="shared" si="10"/>
        <v>0.06884670947</v>
      </c>
      <c r="AF47" s="170">
        <f t="shared" si="10"/>
        <v>0.07147045299</v>
      </c>
      <c r="AG47" s="170"/>
    </row>
    <row r="48" ht="15.75" customHeight="1">
      <c r="A48" s="168"/>
      <c r="B48" s="168" t="s">
        <v>112</v>
      </c>
      <c r="C48" s="181">
        <f t="shared" ref="C48:AG48" si="11">((SUM(C42:C43)-C44)/C44)/C36</f>
        <v>-3.505294259</v>
      </c>
      <c r="D48" s="181">
        <f t="shared" si="11"/>
        <v>-1.729729668</v>
      </c>
      <c r="E48" s="181">
        <f t="shared" si="11"/>
        <v>-1.136013039</v>
      </c>
      <c r="F48" s="181">
        <f t="shared" si="11"/>
        <v>-0.8377129898</v>
      </c>
      <c r="G48" s="181">
        <f t="shared" si="11"/>
        <v>-0.6575417306</v>
      </c>
      <c r="H48" s="181">
        <f t="shared" si="11"/>
        <v>-0.5364020052</v>
      </c>
      <c r="I48" s="181">
        <f t="shared" si="11"/>
        <v>-0.4489652262</v>
      </c>
      <c r="J48" s="181">
        <f t="shared" si="11"/>
        <v>-0.3825660046</v>
      </c>
      <c r="K48" s="181">
        <f t="shared" si="11"/>
        <v>-0.3301669912</v>
      </c>
      <c r="L48" s="181">
        <f t="shared" si="11"/>
        <v>-0.2875448106</v>
      </c>
      <c r="M48" s="181">
        <f t="shared" si="11"/>
        <v>-0.252010938</v>
      </c>
      <c r="N48" s="181">
        <f t="shared" si="11"/>
        <v>-0.2217721353</v>
      </c>
      <c r="O48" s="181">
        <f t="shared" si="11"/>
        <v>-0.1955860687</v>
      </c>
      <c r="P48" s="181">
        <f t="shared" si="11"/>
        <v>-0.1725645164</v>
      </c>
      <c r="Q48" s="181">
        <f t="shared" si="11"/>
        <v>-0.1520552913</v>
      </c>
      <c r="R48" s="181">
        <f t="shared" si="11"/>
        <v>-0.1335684408</v>
      </c>
      <c r="S48" s="181">
        <f t="shared" si="11"/>
        <v>-0.1167284912</v>
      </c>
      <c r="T48" s="181">
        <f t="shared" si="11"/>
        <v>-0.1012426093</v>
      </c>
      <c r="U48" s="181">
        <f t="shared" si="11"/>
        <v>-0.0868788155</v>
      </c>
      <c r="V48" s="181">
        <f t="shared" si="11"/>
        <v>-0.07345073167</v>
      </c>
      <c r="W48" s="181">
        <f t="shared" si="11"/>
        <v>-0.06080668415</v>
      </c>
      <c r="X48" s="181">
        <f t="shared" si="11"/>
        <v>-0.04882177694</v>
      </c>
      <c r="Y48" s="181">
        <f t="shared" si="11"/>
        <v>-0.03739203053</v>
      </c>
      <c r="Z48" s="181">
        <f t="shared" si="11"/>
        <v>-0.02642998404</v>
      </c>
      <c r="AA48" s="181">
        <f t="shared" si="11"/>
        <v>-0.01586135062</v>
      </c>
      <c r="AB48" s="181">
        <f t="shared" si="11"/>
        <v>-0.005622442608</v>
      </c>
      <c r="AC48" s="181">
        <f t="shared" si="11"/>
        <v>0.004341833368</v>
      </c>
      <c r="AD48" s="181">
        <f t="shared" si="11"/>
        <v>0.01407955387</v>
      </c>
      <c r="AE48" s="181">
        <f t="shared" si="11"/>
        <v>0.02363303203</v>
      </c>
      <c r="AF48" s="181">
        <f t="shared" si="11"/>
        <v>0.03303982259</v>
      </c>
      <c r="AG48" s="181">
        <f t="shared" si="11"/>
        <v>-0.03225806452</v>
      </c>
    </row>
    <row r="49" ht="15.75" customHeight="1">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row>
    <row r="50" ht="15.75" customHeight="1">
      <c r="A50" s="158"/>
      <c r="B50" s="158"/>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ht="15.75" customHeight="1">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row>
    <row r="52" ht="15.75" customHeight="1">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row>
    <row r="53" ht="15.75" customHeight="1">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row>
    <row r="54" ht="15.75" customHeight="1">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row>
    <row r="55" ht="15.75" customHeight="1">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row>
    <row r="56" ht="15.75" customHeight="1">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row>
    <row r="57" ht="15.75" customHeight="1">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row>
    <row r="58" ht="15.75" customHeight="1">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row>
    <row r="59" ht="15.75" customHeight="1">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row>
    <row r="60" ht="15.75" customHeight="1">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row>
    <row r="61" ht="15.75" customHeight="1">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row>
    <row r="62" ht="15.75" customHeight="1">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row>
    <row r="63" ht="15.75" customHeight="1">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row>
    <row r="64" ht="15.75" customHeight="1">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row>
    <row r="65" ht="15.75" customHeight="1">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row>
    <row r="66" ht="15.75" customHeight="1">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row>
    <row r="67" ht="15.75" customHeight="1">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row>
    <row r="68" ht="15.75" customHeight="1">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row>
    <row r="69" ht="15.75" customHeight="1">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row>
    <row r="70" ht="15.75" customHeight="1">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row>
    <row r="71" ht="15.75" customHeight="1">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row>
    <row r="72" ht="15.75" customHeight="1">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row>
    <row r="73" ht="15.75" customHeight="1">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row>
    <row r="74" ht="15.75" customHeight="1">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row>
    <row r="75" ht="15.75" customHeight="1">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row>
    <row r="76" ht="15.75" customHeight="1">
      <c r="A76" s="158"/>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row>
    <row r="77" ht="15.75" customHeight="1">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row>
    <row r="78" ht="15.75" customHeight="1">
      <c r="A78" s="158"/>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row>
    <row r="79" ht="15.75" customHeight="1">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row>
    <row r="80" ht="15.75" customHeight="1">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row>
    <row r="81" ht="15.75" customHeight="1">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row>
    <row r="82" ht="15.75" customHeight="1">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row>
    <row r="83" ht="15.75" customHeight="1">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row>
    <row r="84" ht="15.75" customHeight="1">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row>
    <row r="85" ht="15.75" customHeight="1">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row>
    <row r="86" ht="15.75" customHeight="1">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row>
    <row r="87" ht="15.75" customHeight="1">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row>
    <row r="88" ht="15.75" customHeight="1">
      <c r="A88" s="158"/>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row>
    <row r="89" ht="15.75" customHeight="1">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row>
    <row r="90" ht="15.75" customHeight="1">
      <c r="A90" s="158"/>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row>
    <row r="91" ht="15.75" customHeight="1">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row>
    <row r="92" ht="15.75" customHeight="1">
      <c r="A92" s="158"/>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row>
    <row r="93" ht="15.75" customHeight="1">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row>
    <row r="94" ht="15.75" customHeight="1">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row>
    <row r="95" ht="15.75" customHeight="1">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row>
    <row r="96" ht="15.75" customHeight="1">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row>
    <row r="97" ht="15.75" customHeight="1">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row>
    <row r="98" ht="15.75" customHeight="1">
      <c r="A98" s="158"/>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row>
    <row r="99" ht="15.75" customHeight="1">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row>
    <row r="100" ht="15.75" customHeight="1">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row>
    <row r="101" ht="15.75" customHeight="1">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row>
    <row r="102" ht="15.75" customHeight="1">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row>
    <row r="103" ht="15.75" customHeight="1">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row>
    <row r="104" ht="15.75" customHeight="1">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row>
    <row r="105" ht="15.75" customHeight="1">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row>
    <row r="106" ht="15.75" customHeight="1">
      <c r="A106" s="158"/>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row>
    <row r="107" ht="15.75" customHeight="1">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row>
    <row r="108" ht="15.75" customHeight="1">
      <c r="A108" s="158"/>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row>
    <row r="109" ht="15.75" customHeight="1">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row>
    <row r="110" ht="15.75" customHeight="1">
      <c r="A110" s="158"/>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row>
    <row r="111" ht="15.75" customHeight="1">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row>
    <row r="112" ht="15.75" customHeight="1">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row>
    <row r="113" ht="15.75" customHeight="1">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row>
    <row r="114" ht="15.75" customHeight="1">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row>
    <row r="115" ht="15.75" customHeight="1">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row>
    <row r="116" ht="15.75" customHeight="1">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row>
    <row r="117" ht="15.75" customHeight="1">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row>
    <row r="118" ht="15.75" customHeight="1">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row>
    <row r="119" ht="15.75" customHeight="1">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row>
    <row r="120" ht="15.75" customHeight="1">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row>
    <row r="121" ht="15.75" customHeight="1">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row>
    <row r="122" ht="15.75" customHeight="1">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row>
    <row r="123" ht="15.75" customHeight="1">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row>
    <row r="124" ht="15.75" customHeight="1">
      <c r="A124" s="158"/>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row>
    <row r="125" ht="15.75" customHeight="1">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row>
    <row r="126" ht="15.75" customHeight="1">
      <c r="A126" s="158"/>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row>
    <row r="127" ht="15.75" customHeight="1">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row>
    <row r="128" ht="15.75" customHeight="1">
      <c r="A128" s="158"/>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row>
    <row r="129" ht="15.75" customHeight="1">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row>
    <row r="130" ht="15.75" customHeight="1">
      <c r="A130" s="158"/>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row>
    <row r="131" ht="15.75" customHeight="1">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row>
    <row r="132" ht="15.75" customHeight="1">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row>
    <row r="133" ht="15.75" customHeight="1">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row>
    <row r="134" ht="15.75" customHeight="1">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row>
    <row r="135" ht="15.75" customHeight="1">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row>
    <row r="136" ht="15.75" customHeight="1">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row>
    <row r="137" ht="15.75" customHeight="1">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row>
    <row r="138" ht="15.75" customHeight="1">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row>
    <row r="139" ht="15.75" customHeight="1">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row>
    <row r="140" ht="15.75" customHeight="1">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row>
    <row r="141" ht="15.75" customHeight="1">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row>
    <row r="142" ht="15.75" customHeight="1">
      <c r="A142" s="158"/>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row>
    <row r="143" ht="15.75" customHeight="1">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row>
    <row r="144" ht="15.75" customHeight="1">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row>
    <row r="145" ht="15.75" customHeight="1">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row>
    <row r="146" ht="15.75" customHeight="1">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row>
    <row r="147" ht="15.75" customHeight="1">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row>
    <row r="148" ht="15.75" customHeight="1">
      <c r="A148" s="158"/>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row>
    <row r="149" ht="15.75" customHeight="1">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c r="AG149" s="159"/>
    </row>
    <row r="150" ht="15.75" customHeight="1">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row>
    <row r="151" ht="15.75" customHeight="1">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c r="AG151" s="159"/>
    </row>
    <row r="152" ht="15.75" customHeight="1">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row>
    <row r="153" ht="15.75" customHeight="1">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4" ht="15.75" customHeight="1">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row>
    <row r="155" ht="15.75" customHeight="1">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row>
    <row r="156" ht="15.75" customHeight="1">
      <c r="A156" s="158"/>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row>
    <row r="157" ht="15.75" customHeight="1">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159"/>
      <c r="AG157" s="159"/>
    </row>
    <row r="158" ht="15.75" customHeight="1">
      <c r="A158" s="158"/>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row>
    <row r="159" ht="15.75" customHeight="1">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159"/>
      <c r="AG159" s="159"/>
    </row>
    <row r="160" ht="15.75" customHeight="1">
      <c r="A160" s="158"/>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row>
    <row r="161" ht="15.75" customHeight="1">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159"/>
      <c r="AG161" s="159"/>
    </row>
    <row r="162" ht="15.75" customHeight="1">
      <c r="A162" s="158"/>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row>
    <row r="163" ht="15.75" customHeight="1">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row>
    <row r="164" ht="15.75" customHeight="1">
      <c r="A164" s="158"/>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row>
    <row r="165" ht="15.75" customHeight="1">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159"/>
      <c r="AG165" s="159"/>
    </row>
    <row r="166" ht="15.75" customHeight="1">
      <c r="A166" s="158"/>
      <c r="B166" s="158"/>
      <c r="C166" s="158"/>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row>
    <row r="167" ht="15.75" customHeight="1">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c r="AG167" s="159"/>
    </row>
    <row r="168" ht="15.75" customHeight="1">
      <c r="A168" s="158"/>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row>
    <row r="169" ht="15.75" customHeight="1">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c r="AG169" s="159"/>
    </row>
    <row r="170" ht="15.75" customHeight="1">
      <c r="A170" s="158"/>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row>
    <row r="171" ht="15.75" customHeight="1">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c r="AG171" s="159"/>
    </row>
    <row r="172" ht="15.75" customHeight="1">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row>
    <row r="173" ht="15.75" customHeight="1">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row>
    <row r="174" ht="15.75" customHeight="1">
      <c r="A174" s="158"/>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row>
    <row r="175" ht="15.75" customHeight="1">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row>
    <row r="176" ht="15.75" customHeight="1">
      <c r="A176" s="158"/>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row>
    <row r="177" ht="15.75" customHeight="1">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159"/>
      <c r="AG177" s="159"/>
    </row>
    <row r="178" ht="15.75" customHeight="1">
      <c r="A178" s="158"/>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row>
    <row r="179" ht="15.75" customHeight="1">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159"/>
      <c r="AG179" s="159"/>
    </row>
    <row r="180" ht="15.75" customHeight="1">
      <c r="A180" s="158"/>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row>
    <row r="181" ht="15.75" customHeight="1">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159"/>
      <c r="AG181" s="159"/>
    </row>
    <row r="182" ht="15.75" customHeight="1">
      <c r="A182" s="158"/>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row>
    <row r="183" ht="15.75" customHeight="1">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row>
    <row r="184" ht="15.75" customHeight="1">
      <c r="A184" s="158"/>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58"/>
    </row>
    <row r="185" ht="15.75" customHeight="1">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row>
    <row r="186" ht="15.75" customHeight="1">
      <c r="A186" s="158"/>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row>
    <row r="187" ht="15.75" customHeight="1">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row>
    <row r="188" ht="15.75" customHeight="1">
      <c r="A188" s="158"/>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row>
    <row r="189" ht="15.75" customHeight="1">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row>
    <row r="190" ht="15.75" customHeight="1">
      <c r="A190" s="158"/>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row>
    <row r="191" ht="15.75" customHeight="1">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row>
    <row r="192" ht="15.75" customHeight="1">
      <c r="A192" s="158"/>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row>
    <row r="193" ht="15.75" customHeight="1">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c r="AF193" s="159"/>
      <c r="AG193" s="159"/>
    </row>
    <row r="194" ht="15.75" customHeight="1">
      <c r="A194" s="158"/>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row>
    <row r="195" ht="15.75" customHeight="1">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c r="AF195" s="159"/>
      <c r="AG195" s="159"/>
    </row>
    <row r="196" ht="15.75" customHeight="1">
      <c r="A196" s="158"/>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c r="AF196" s="158"/>
      <c r="AG196" s="158"/>
    </row>
    <row r="197" ht="15.75" customHeight="1">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row>
    <row r="198" ht="15.75" customHeight="1">
      <c r="A198" s="158"/>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E198" s="158"/>
      <c r="AF198" s="158"/>
      <c r="AG198" s="158"/>
    </row>
    <row r="199" ht="15.75" customHeight="1">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159"/>
      <c r="AG199" s="159"/>
    </row>
    <row r="200" ht="15.75" customHeight="1">
      <c r="A200" s="158"/>
      <c r="B200" s="158"/>
      <c r="C200" s="158"/>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c r="AA200" s="158"/>
      <c r="AB200" s="158"/>
      <c r="AC200" s="158"/>
      <c r="AD200" s="158"/>
      <c r="AE200" s="158"/>
      <c r="AF200" s="158"/>
      <c r="AG200" s="158"/>
    </row>
    <row r="201" ht="15.75" customHeight="1">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c r="AD201" s="159"/>
      <c r="AE201" s="159"/>
      <c r="AF201" s="159"/>
      <c r="AG201" s="159"/>
    </row>
    <row r="202" ht="15.75" customHeight="1">
      <c r="A202" s="158"/>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c r="AA202" s="158"/>
      <c r="AB202" s="158"/>
      <c r="AC202" s="158"/>
      <c r="AD202" s="158"/>
      <c r="AE202" s="158"/>
      <c r="AF202" s="158"/>
      <c r="AG202" s="158"/>
    </row>
    <row r="203" ht="15.75" customHeight="1">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row>
    <row r="204" ht="15.75" customHeight="1">
      <c r="A204" s="158"/>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c r="AA204" s="158"/>
      <c r="AB204" s="158"/>
      <c r="AC204" s="158"/>
      <c r="AD204" s="158"/>
      <c r="AE204" s="158"/>
      <c r="AF204" s="158"/>
      <c r="AG204" s="158"/>
    </row>
    <row r="205" ht="15.75" customHeight="1">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row>
    <row r="206" ht="15.75" customHeight="1">
      <c r="A206" s="158"/>
      <c r="B206" s="158"/>
      <c r="C206" s="158"/>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row>
    <row r="207" ht="15.75" customHeight="1">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row>
    <row r="208" ht="15.75" customHeight="1">
      <c r="A208" s="158"/>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row>
    <row r="209" ht="15.75" customHeight="1">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row>
    <row r="210" ht="15.75" customHeight="1">
      <c r="A210" s="158"/>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c r="AA210" s="158"/>
      <c r="AB210" s="158"/>
      <c r="AC210" s="158"/>
      <c r="AD210" s="158"/>
      <c r="AE210" s="158"/>
      <c r="AF210" s="158"/>
      <c r="AG210" s="158"/>
    </row>
    <row r="211" ht="15.75" customHeight="1">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159"/>
      <c r="AE211" s="159"/>
      <c r="AF211" s="159"/>
      <c r="AG211" s="159"/>
    </row>
    <row r="212" ht="15.75" customHeight="1">
      <c r="A212" s="158"/>
      <c r="B212" s="158"/>
      <c r="C212" s="158"/>
      <c r="D212" s="158"/>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c r="AA212" s="158"/>
      <c r="AB212" s="158"/>
      <c r="AC212" s="158"/>
      <c r="AD212" s="158"/>
      <c r="AE212" s="158"/>
      <c r="AF212" s="158"/>
      <c r="AG212" s="158"/>
    </row>
    <row r="213" ht="15.75" customHeight="1">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159"/>
      <c r="AE213" s="159"/>
      <c r="AF213" s="159"/>
      <c r="AG213" s="159"/>
    </row>
    <row r="214" ht="15.75" customHeight="1">
      <c r="A214" s="158"/>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c r="AA214" s="158"/>
      <c r="AB214" s="158"/>
      <c r="AC214" s="158"/>
      <c r="AD214" s="158"/>
      <c r="AE214" s="158"/>
      <c r="AF214" s="158"/>
      <c r="AG214" s="158"/>
    </row>
    <row r="215" ht="15.75" customHeight="1">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c r="AB215" s="159"/>
      <c r="AC215" s="159"/>
      <c r="AD215" s="159"/>
      <c r="AE215" s="159"/>
      <c r="AF215" s="159"/>
      <c r="AG215" s="159"/>
    </row>
    <row r="216" ht="15.75" customHeight="1">
      <c r="A216" s="158"/>
      <c r="B216" s="158"/>
      <c r="C216" s="158"/>
      <c r="D216" s="158"/>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c r="AA216" s="158"/>
      <c r="AB216" s="158"/>
      <c r="AC216" s="158"/>
      <c r="AD216" s="158"/>
      <c r="AE216" s="158"/>
      <c r="AF216" s="158"/>
      <c r="AG216" s="158"/>
    </row>
    <row r="217" ht="15.75" customHeight="1">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c r="AB217" s="159"/>
      <c r="AC217" s="159"/>
      <c r="AD217" s="159"/>
      <c r="AE217" s="159"/>
      <c r="AF217" s="159"/>
      <c r="AG217" s="159"/>
    </row>
    <row r="218" ht="15.75" customHeight="1">
      <c r="A218" s="158"/>
      <c r="B218" s="158"/>
      <c r="C218" s="158"/>
      <c r="D218" s="158"/>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c r="AA218" s="158"/>
      <c r="AB218" s="158"/>
      <c r="AC218" s="158"/>
      <c r="AD218" s="158"/>
      <c r="AE218" s="158"/>
      <c r="AF218" s="158"/>
      <c r="AG218" s="158"/>
    </row>
    <row r="219" ht="15.75" customHeight="1">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c r="AB219" s="159"/>
      <c r="AC219" s="159"/>
      <c r="AD219" s="159"/>
      <c r="AE219" s="159"/>
      <c r="AF219" s="159"/>
      <c r="AG219" s="159"/>
    </row>
    <row r="220" ht="15.75" customHeight="1">
      <c r="A220" s="158"/>
      <c r="B220" s="158"/>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c r="AA220" s="158"/>
      <c r="AB220" s="158"/>
      <c r="AC220" s="158"/>
      <c r="AD220" s="158"/>
      <c r="AE220" s="158"/>
      <c r="AF220" s="158"/>
      <c r="AG220" s="158"/>
    </row>
    <row r="221" ht="15.75" customHeight="1">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row>
    <row r="222" ht="15.75" customHeight="1">
      <c r="A222" s="158"/>
      <c r="B222" s="158"/>
      <c r="C222" s="158"/>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c r="AA222" s="158"/>
      <c r="AB222" s="158"/>
      <c r="AC222" s="158"/>
      <c r="AD222" s="158"/>
      <c r="AE222" s="158"/>
      <c r="AF222" s="158"/>
      <c r="AG222" s="158"/>
    </row>
    <row r="223" ht="15.75" customHeight="1">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c r="AB223" s="159"/>
      <c r="AC223" s="159"/>
      <c r="AD223" s="159"/>
      <c r="AE223" s="159"/>
      <c r="AF223" s="159"/>
      <c r="AG223" s="159"/>
    </row>
    <row r="224" ht="15.75" customHeight="1">
      <c r="A224" s="158"/>
      <c r="B224" s="158"/>
      <c r="C224" s="158"/>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c r="AA224" s="158"/>
      <c r="AB224" s="158"/>
      <c r="AC224" s="158"/>
      <c r="AD224" s="158"/>
      <c r="AE224" s="158"/>
      <c r="AF224" s="158"/>
      <c r="AG224" s="158"/>
    </row>
    <row r="225" ht="15.75" customHeight="1">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159"/>
      <c r="AG225" s="159"/>
    </row>
    <row r="226" ht="15.75" customHeight="1">
      <c r="A226" s="158"/>
      <c r="B226" s="158"/>
      <c r="C226" s="158"/>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c r="AA226" s="158"/>
      <c r="AB226" s="158"/>
      <c r="AC226" s="158"/>
      <c r="AD226" s="158"/>
      <c r="AE226" s="158"/>
      <c r="AF226" s="158"/>
      <c r="AG226" s="158"/>
    </row>
    <row r="227" ht="15.75" customHeight="1">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c r="AE227" s="159"/>
      <c r="AF227" s="159"/>
      <c r="AG227" s="159"/>
    </row>
    <row r="228" ht="15.75" customHeight="1">
      <c r="A228" s="158"/>
      <c r="B228" s="158"/>
      <c r="C228" s="158"/>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row>
    <row r="229" ht="15.75" customHeight="1">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c r="AE229" s="159"/>
      <c r="AF229" s="159"/>
      <c r="AG229" s="159"/>
    </row>
    <row r="230" ht="15.75" customHeight="1">
      <c r="A230" s="158"/>
      <c r="B230" s="158"/>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row>
    <row r="231" ht="15.75" customHeight="1">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159"/>
      <c r="AG231" s="159"/>
    </row>
    <row r="232" ht="15.75" customHeight="1">
      <c r="A232" s="158"/>
      <c r="B232" s="158"/>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row>
    <row r="233" ht="15.75" customHeight="1">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c r="AB233" s="159"/>
      <c r="AC233" s="159"/>
      <c r="AD233" s="159"/>
      <c r="AE233" s="159"/>
      <c r="AF233" s="159"/>
      <c r="AG233" s="159"/>
    </row>
    <row r="234" ht="15.75" customHeight="1">
      <c r="A234" s="158"/>
      <c r="B234" s="158"/>
      <c r="C234" s="158"/>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8"/>
      <c r="AF234" s="158"/>
      <c r="AG234" s="158"/>
    </row>
    <row r="235" ht="15.75" customHeight="1">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row>
    <row r="236" ht="15.75" customHeight="1">
      <c r="A236" s="158"/>
      <c r="B236" s="158"/>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row>
    <row r="237" ht="15.75" customHeight="1">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row>
    <row r="238" ht="15.75" customHeight="1">
      <c r="A238" s="158"/>
      <c r="B238" s="158"/>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row>
    <row r="239" ht="15.75" customHeight="1">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row>
    <row r="240" ht="15.75" customHeight="1">
      <c r="A240" s="158"/>
      <c r="B240" s="158"/>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row>
    <row r="241" ht="15.75" customHeight="1">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159"/>
      <c r="AG241" s="159"/>
    </row>
    <row r="242" ht="15.75" customHeight="1">
      <c r="A242" s="158"/>
      <c r="B242" s="158"/>
      <c r="C242" s="158"/>
      <c r="D242" s="158"/>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c r="AA242" s="158"/>
      <c r="AB242" s="158"/>
      <c r="AC242" s="158"/>
      <c r="AD242" s="158"/>
      <c r="AE242" s="158"/>
      <c r="AF242" s="158"/>
      <c r="AG242" s="158"/>
    </row>
    <row r="243" ht="15.75" customHeight="1">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row>
    <row r="244" ht="15.75" customHeight="1">
      <c r="A244" s="158"/>
      <c r="B244" s="158"/>
      <c r="C244" s="158"/>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c r="AA244" s="158"/>
      <c r="AB244" s="158"/>
      <c r="AC244" s="158"/>
      <c r="AD244" s="158"/>
      <c r="AE244" s="158"/>
      <c r="AF244" s="158"/>
      <c r="AG244" s="158"/>
    </row>
    <row r="245" ht="15.75" customHeight="1">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E245" s="159"/>
      <c r="AF245" s="159"/>
      <c r="AG245" s="159"/>
    </row>
    <row r="246" ht="15.75" customHeight="1">
      <c r="A246" s="158"/>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row>
    <row r="247" ht="15.75" customHeight="1">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row>
    <row r="248" ht="15.75" customHeight="1">
      <c r="A248" s="158"/>
      <c r="B248" s="158"/>
      <c r="C248" s="158"/>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6" max="6" width="17.0"/>
    <col customWidth="1" min="7" max="7" width="16.88"/>
    <col customWidth="1" min="8" max="9" width="16.5"/>
    <col customWidth="1" min="14" max="14" width="27.5"/>
  </cols>
  <sheetData>
    <row r="1" ht="15.75" customHeight="1">
      <c r="G1" s="13"/>
    </row>
    <row r="2" ht="15.75" customHeight="1">
      <c r="G2" s="13"/>
      <c r="H2" s="12"/>
      <c r="I2" s="182" t="s">
        <v>113</v>
      </c>
      <c r="J2" s="100"/>
      <c r="K2" s="100"/>
      <c r="L2" s="101"/>
    </row>
    <row r="3" ht="15.75" customHeight="1">
      <c r="B3" s="12" t="s">
        <v>30</v>
      </c>
      <c r="C3" s="13">
        <f>'Enter Data Here'!F31</f>
        <v>294400</v>
      </c>
      <c r="D3" s="12">
        <v>120000.0</v>
      </c>
      <c r="G3" s="13"/>
      <c r="H3" s="12"/>
      <c r="I3" s="11" t="s">
        <v>114</v>
      </c>
      <c r="J3" s="31">
        <v>0.0085</v>
      </c>
      <c r="L3" s="14"/>
      <c r="N3" s="183"/>
      <c r="O3" s="183"/>
    </row>
    <row r="4" ht="15.75" customHeight="1">
      <c r="B4" s="12" t="s">
        <v>115</v>
      </c>
      <c r="C4" s="12">
        <f>'Enter Data Here'!F35*12</f>
        <v>360</v>
      </c>
      <c r="D4" s="44">
        <f>'Enter Data Here'!F35</f>
        <v>30</v>
      </c>
      <c r="F4" s="182" t="s">
        <v>116</v>
      </c>
      <c r="G4" s="184">
        <f>'Enter Data Here'!L48</f>
        <v>0.03</v>
      </c>
      <c r="H4" s="12"/>
      <c r="I4" s="11" t="s">
        <v>117</v>
      </c>
      <c r="J4" s="12">
        <f>J3/12</f>
        <v>0.0007083333333</v>
      </c>
      <c r="L4" s="185" t="str">
        <f>IF('Enter Data Here'!F37="yes", 'Ignore This'!J5,"$0")</f>
        <v>$0</v>
      </c>
      <c r="N4" s="183" t="str">
        <f>'Enter Data Here'!J46</f>
        <v>Annual Rent Increase (%)</v>
      </c>
      <c r="O4" s="186">
        <f>'Enter Data Here'!L46</f>
        <v>0.02</v>
      </c>
    </row>
    <row r="5" ht="15.75" customHeight="1">
      <c r="B5" s="12" t="s">
        <v>118</v>
      </c>
      <c r="C5" s="12">
        <f>'Enter Data Here'!F33/12</f>
        <v>0.004583333333</v>
      </c>
      <c r="D5" s="31">
        <f>'Enter Data Here'!F33</f>
        <v>0.055</v>
      </c>
      <c r="F5" s="21" t="s">
        <v>119</v>
      </c>
      <c r="G5" s="187">
        <f>(1+G4)^(1/12)-1</f>
        <v>0.002466269772</v>
      </c>
      <c r="H5" s="12"/>
      <c r="I5" s="11" t="s">
        <v>120</v>
      </c>
      <c r="J5" s="13">
        <f>J4*C3</f>
        <v>208.5333333</v>
      </c>
      <c r="L5" s="14"/>
      <c r="N5" s="183" t="str">
        <f>'Enter Data Here'!J48</f>
        <v>Annual Property Value Increase (%)</v>
      </c>
      <c r="O5" s="186">
        <f>'Enter Data Here'!L48</f>
        <v>0.03</v>
      </c>
    </row>
    <row r="6" ht="15.75" customHeight="1">
      <c r="B6" s="12" t="s">
        <v>121</v>
      </c>
      <c r="C6" s="13">
        <f>PMT(C5,C4,-C3)</f>
        <v>1671.57082</v>
      </c>
      <c r="G6" s="13"/>
      <c r="H6" s="12"/>
      <c r="I6" s="21" t="s">
        <v>122</v>
      </c>
      <c r="J6" s="188">
        <f>C3*0.0175</f>
        <v>5152</v>
      </c>
      <c r="K6" s="22"/>
      <c r="L6" s="23"/>
      <c r="N6" s="183" t="str">
        <f>'Enter Data Here'!J50</f>
        <v>Operating Expenses Increase</v>
      </c>
      <c r="O6" s="186">
        <f>'Enter Data Here'!L50</f>
        <v>0.02</v>
      </c>
    </row>
    <row r="7" ht="15.75" customHeight="1">
      <c r="G7" s="13"/>
    </row>
    <row r="8" ht="15.75" customHeight="1">
      <c r="A8" s="12" t="s">
        <v>123</v>
      </c>
      <c r="B8" s="12" t="s">
        <v>124</v>
      </c>
      <c r="C8" s="12" t="s">
        <v>125</v>
      </c>
      <c r="D8" s="12" t="s">
        <v>126</v>
      </c>
      <c r="E8" s="12" t="s">
        <v>127</v>
      </c>
      <c r="F8" s="12" t="s">
        <v>128</v>
      </c>
      <c r="G8" s="12" t="s">
        <v>129</v>
      </c>
    </row>
    <row r="9" ht="15.75" customHeight="1">
      <c r="A9" s="189">
        <v>1.0</v>
      </c>
      <c r="B9" s="190">
        <f>C3</f>
        <v>294400</v>
      </c>
      <c r="C9" s="190">
        <f>C6</f>
        <v>1671.57082</v>
      </c>
      <c r="D9" s="190">
        <f>B9*C5</f>
        <v>1349.333333</v>
      </c>
      <c r="E9" s="190">
        <f>C9-D9</f>
        <v>322.2374866</v>
      </c>
      <c r="F9" s="190">
        <f t="shared" ref="F9:F368" si="1">IFERROR(B9-E9,0)</f>
        <v>294077.7625</v>
      </c>
      <c r="G9" s="190">
        <v>150000.0</v>
      </c>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row>
    <row r="10" ht="15.75" customHeight="1">
      <c r="A10" s="189">
        <f t="shared" ref="A10:A368" si="2">IFERROR(IF(F9&gt;0,A9+1,""),0)</f>
        <v>2</v>
      </c>
      <c r="B10" s="190">
        <f t="shared" ref="B10:B368" si="3">IFERROR(IF(F9&gt;0,F9,""),0)</f>
        <v>294077.7625</v>
      </c>
      <c r="C10" s="190">
        <f t="shared" ref="C10:C368" si="4">IFERROR(IF(F9&gt;0,$C$6,""),0)</f>
        <v>1671.57082</v>
      </c>
      <c r="D10" s="190">
        <f t="shared" ref="D10:D368" si="5">IFERROR(IF(F9&gt;0,B10*$C$5,""),0)</f>
        <v>1347.856412</v>
      </c>
      <c r="E10" s="190">
        <f t="shared" ref="E10:E368" si="6">IFERROR(IF(F9&gt;0,C10-D10,""),0)</f>
        <v>323.7144084</v>
      </c>
      <c r="F10" s="190">
        <f t="shared" si="1"/>
        <v>293754.0481</v>
      </c>
      <c r="G10" s="191">
        <f t="shared" ref="G10:G368" si="7">G9*(1+$G$5)</f>
        <v>150369.9405</v>
      </c>
      <c r="H10" s="189"/>
      <c r="I10" s="189"/>
      <c r="J10" s="192"/>
      <c r="K10" s="192"/>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row>
    <row r="11" ht="15.75" customHeight="1">
      <c r="A11" s="189">
        <f t="shared" si="2"/>
        <v>3</v>
      </c>
      <c r="B11" s="190">
        <f t="shared" si="3"/>
        <v>293754.0481</v>
      </c>
      <c r="C11" s="190">
        <f t="shared" si="4"/>
        <v>1671.57082</v>
      </c>
      <c r="D11" s="190">
        <f t="shared" si="5"/>
        <v>1346.37272</v>
      </c>
      <c r="E11" s="190">
        <f t="shared" si="6"/>
        <v>325.1980995</v>
      </c>
      <c r="F11" s="190">
        <f t="shared" si="1"/>
        <v>293428.85</v>
      </c>
      <c r="G11" s="191">
        <f t="shared" si="7"/>
        <v>150740.7933</v>
      </c>
      <c r="H11" s="189"/>
      <c r="I11" s="189"/>
      <c r="J11" s="192"/>
      <c r="K11" s="192"/>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row>
    <row r="12" ht="15.75" customHeight="1">
      <c r="A12" s="189">
        <f t="shared" si="2"/>
        <v>4</v>
      </c>
      <c r="B12" s="190">
        <f t="shared" si="3"/>
        <v>293428.85</v>
      </c>
      <c r="C12" s="190">
        <f t="shared" si="4"/>
        <v>1671.57082</v>
      </c>
      <c r="D12" s="190">
        <f t="shared" si="5"/>
        <v>1344.882229</v>
      </c>
      <c r="E12" s="190">
        <f t="shared" si="6"/>
        <v>326.6885908</v>
      </c>
      <c r="F12" s="190">
        <f t="shared" si="1"/>
        <v>293102.1614</v>
      </c>
      <c r="G12" s="191">
        <f t="shared" si="7"/>
        <v>151112.5608</v>
      </c>
      <c r="H12" s="189"/>
      <c r="I12" s="189"/>
      <c r="J12" s="192"/>
      <c r="K12" s="192"/>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row>
    <row r="13" ht="15.75" customHeight="1">
      <c r="A13" s="189">
        <f t="shared" si="2"/>
        <v>5</v>
      </c>
      <c r="B13" s="190">
        <f t="shared" si="3"/>
        <v>293102.1614</v>
      </c>
      <c r="C13" s="190">
        <f t="shared" si="4"/>
        <v>1671.57082</v>
      </c>
      <c r="D13" s="190">
        <f t="shared" si="5"/>
        <v>1343.384906</v>
      </c>
      <c r="E13" s="190">
        <f t="shared" si="6"/>
        <v>328.1859135</v>
      </c>
      <c r="F13" s="190">
        <f t="shared" si="1"/>
        <v>292773.9755</v>
      </c>
      <c r="G13" s="191">
        <f t="shared" si="7"/>
        <v>151485.2451</v>
      </c>
      <c r="H13" s="189"/>
      <c r="I13" s="193"/>
      <c r="J13" s="194">
        <v>1.0</v>
      </c>
      <c r="K13" s="194">
        <v>2.0</v>
      </c>
      <c r="L13" s="194">
        <v>3.0</v>
      </c>
      <c r="M13" s="194">
        <f t="shared" ref="M13:AM13" si="8">L13+1</f>
        <v>4</v>
      </c>
      <c r="N13" s="194">
        <f t="shared" si="8"/>
        <v>5</v>
      </c>
      <c r="O13" s="194">
        <f t="shared" si="8"/>
        <v>6</v>
      </c>
      <c r="P13" s="194">
        <f t="shared" si="8"/>
        <v>7</v>
      </c>
      <c r="Q13" s="194">
        <f t="shared" si="8"/>
        <v>8</v>
      </c>
      <c r="R13" s="194">
        <f t="shared" si="8"/>
        <v>9</v>
      </c>
      <c r="S13" s="194">
        <f t="shared" si="8"/>
        <v>10</v>
      </c>
      <c r="T13" s="194">
        <f t="shared" si="8"/>
        <v>11</v>
      </c>
      <c r="U13" s="194">
        <f t="shared" si="8"/>
        <v>12</v>
      </c>
      <c r="V13" s="194">
        <f t="shared" si="8"/>
        <v>13</v>
      </c>
      <c r="W13" s="194">
        <f t="shared" si="8"/>
        <v>14</v>
      </c>
      <c r="X13" s="194">
        <f t="shared" si="8"/>
        <v>15</v>
      </c>
      <c r="Y13" s="194">
        <f t="shared" si="8"/>
        <v>16</v>
      </c>
      <c r="Z13" s="194">
        <f t="shared" si="8"/>
        <v>17</v>
      </c>
      <c r="AA13" s="194">
        <f t="shared" si="8"/>
        <v>18</v>
      </c>
      <c r="AB13" s="194">
        <f t="shared" si="8"/>
        <v>19</v>
      </c>
      <c r="AC13" s="194">
        <f t="shared" si="8"/>
        <v>20</v>
      </c>
      <c r="AD13" s="194">
        <f t="shared" si="8"/>
        <v>21</v>
      </c>
      <c r="AE13" s="194">
        <f t="shared" si="8"/>
        <v>22</v>
      </c>
      <c r="AF13" s="194">
        <f t="shared" si="8"/>
        <v>23</v>
      </c>
      <c r="AG13" s="194">
        <f t="shared" si="8"/>
        <v>24</v>
      </c>
      <c r="AH13" s="194">
        <f t="shared" si="8"/>
        <v>25</v>
      </c>
      <c r="AI13" s="194">
        <f t="shared" si="8"/>
        <v>26</v>
      </c>
      <c r="AJ13" s="194">
        <f t="shared" si="8"/>
        <v>27</v>
      </c>
      <c r="AK13" s="194">
        <f t="shared" si="8"/>
        <v>28</v>
      </c>
      <c r="AL13" s="194">
        <f t="shared" si="8"/>
        <v>29</v>
      </c>
      <c r="AM13" s="195">
        <f t="shared" si="8"/>
        <v>30</v>
      </c>
    </row>
    <row r="14" ht="15.75" customHeight="1">
      <c r="A14" s="189">
        <f t="shared" si="2"/>
        <v>6</v>
      </c>
      <c r="B14" s="190">
        <f t="shared" si="3"/>
        <v>292773.9755</v>
      </c>
      <c r="C14" s="190">
        <f t="shared" si="4"/>
        <v>1671.57082</v>
      </c>
      <c r="D14" s="190">
        <f t="shared" si="5"/>
        <v>1341.880721</v>
      </c>
      <c r="E14" s="190">
        <f t="shared" si="6"/>
        <v>329.6900989</v>
      </c>
      <c r="F14" s="190">
        <f t="shared" si="1"/>
        <v>292444.2854</v>
      </c>
      <c r="G14" s="191">
        <f t="shared" si="7"/>
        <v>151858.8486</v>
      </c>
      <c r="H14" s="189"/>
      <c r="I14" s="196" t="s">
        <v>130</v>
      </c>
      <c r="J14" s="197">
        <f>'Annual Data '!C26</f>
        <v>958.3341604</v>
      </c>
      <c r="K14" s="197">
        <f>'Annual Data '!D26</f>
        <v>1378.67784</v>
      </c>
      <c r="L14" s="197">
        <f>'Annual Data '!E26</f>
        <v>1807.428394</v>
      </c>
      <c r="M14" s="197">
        <f>'Annual Data '!F26</f>
        <v>2244.753959</v>
      </c>
      <c r="N14" s="197">
        <f>'Annual Data '!G26</f>
        <v>2690.826035</v>
      </c>
      <c r="O14" s="197">
        <f>'Annual Data '!H26</f>
        <v>3145.819552</v>
      </c>
      <c r="P14" s="197">
        <f>'Annual Data '!I26</f>
        <v>3609.91294</v>
      </c>
      <c r="Q14" s="197">
        <f>'Annual Data '!J26</f>
        <v>4083.288196</v>
      </c>
      <c r="R14" s="197">
        <f>'Annual Data '!K26</f>
        <v>4566.130956</v>
      </c>
      <c r="S14" s="197">
        <f>'Annual Data '!L26</f>
        <v>5058.630572</v>
      </c>
      <c r="T14" s="197">
        <f>'Annual Data '!M26</f>
        <v>5560.98018</v>
      </c>
      <c r="U14" s="197">
        <f>'Annual Data '!N26</f>
        <v>6073.376781</v>
      </c>
      <c r="V14" s="197">
        <f>'Annual Data '!O26</f>
        <v>6596.021313</v>
      </c>
      <c r="W14" s="197">
        <f>'Annual Data '!P26</f>
        <v>7129.118736</v>
      </c>
      <c r="X14" s="197">
        <f>'Annual Data '!Q26</f>
        <v>7672.878108</v>
      </c>
      <c r="Y14" s="197">
        <f>'Annual Data '!R26</f>
        <v>8227.512667</v>
      </c>
      <c r="Z14" s="197">
        <f>'Annual Data '!S26</f>
        <v>8793.239917</v>
      </c>
      <c r="AA14" s="197">
        <f>'Annual Data '!T26</f>
        <v>9370.281712</v>
      </c>
      <c r="AB14" s="197">
        <f>'Annual Data '!U26</f>
        <v>9958.864343</v>
      </c>
      <c r="AC14" s="197">
        <f>'Annual Data '!V26</f>
        <v>10559.21863</v>
      </c>
      <c r="AD14" s="197">
        <f>'Annual Data '!W26</f>
        <v>11171.58</v>
      </c>
      <c r="AE14" s="197">
        <f>'Annual Data '!X26</f>
        <v>11796.18859</v>
      </c>
      <c r="AF14" s="197">
        <f>'Annual Data '!Y26</f>
        <v>12433.28936</v>
      </c>
      <c r="AG14" s="197">
        <f>'Annual Data '!Z26</f>
        <v>13083.13215</v>
      </c>
      <c r="AH14" s="197">
        <f>'Annual Data '!AA26</f>
        <v>13745.97179</v>
      </c>
      <c r="AI14" s="197">
        <f>'Annual Data '!AB26</f>
        <v>14422.06822</v>
      </c>
      <c r="AJ14" s="197">
        <f>'Annual Data '!AC26</f>
        <v>15111.68658</v>
      </c>
      <c r="AK14" s="197">
        <f>'Annual Data '!AD26</f>
        <v>15815.09731</v>
      </c>
      <c r="AL14" s="197">
        <f>'Annual Data '!AE26</f>
        <v>16532.57625</v>
      </c>
      <c r="AM14" s="198">
        <f>'Annual Data '!AF26</f>
        <v>17264.40477</v>
      </c>
    </row>
    <row r="15" ht="15.75" customHeight="1">
      <c r="A15" s="189">
        <f t="shared" si="2"/>
        <v>7</v>
      </c>
      <c r="B15" s="190">
        <f t="shared" si="3"/>
        <v>292444.2854</v>
      </c>
      <c r="C15" s="190">
        <f t="shared" si="4"/>
        <v>1671.57082</v>
      </c>
      <c r="D15" s="190">
        <f t="shared" si="5"/>
        <v>1340.369641</v>
      </c>
      <c r="E15" s="190">
        <f t="shared" si="6"/>
        <v>331.2011785</v>
      </c>
      <c r="F15" s="190">
        <f t="shared" si="1"/>
        <v>292113.0842</v>
      </c>
      <c r="G15" s="191">
        <f t="shared" si="7"/>
        <v>152233.3735</v>
      </c>
      <c r="H15" s="189"/>
      <c r="I15" s="196" t="s">
        <v>131</v>
      </c>
      <c r="J15" s="197">
        <f>J14</f>
        <v>958.3341604</v>
      </c>
      <c r="K15" s="197">
        <f t="shared" ref="K15:AM15" si="9">SUM($J$14:K14)</f>
        <v>2337.012001</v>
      </c>
      <c r="L15" s="197">
        <f t="shared" si="9"/>
        <v>4144.440395</v>
      </c>
      <c r="M15" s="197">
        <f t="shared" si="9"/>
        <v>6389.194354</v>
      </c>
      <c r="N15" s="197">
        <f t="shared" si="9"/>
        <v>9080.020388</v>
      </c>
      <c r="O15" s="197">
        <f t="shared" si="9"/>
        <v>12225.83994</v>
      </c>
      <c r="P15" s="197">
        <f t="shared" si="9"/>
        <v>15835.75288</v>
      </c>
      <c r="Q15" s="197">
        <f t="shared" si="9"/>
        <v>19919.04108</v>
      </c>
      <c r="R15" s="197">
        <f t="shared" si="9"/>
        <v>24485.17203</v>
      </c>
      <c r="S15" s="197">
        <f t="shared" si="9"/>
        <v>29543.8026</v>
      </c>
      <c r="T15" s="197">
        <f t="shared" si="9"/>
        <v>35104.78278</v>
      </c>
      <c r="U15" s="197">
        <f t="shared" si="9"/>
        <v>41178.15957</v>
      </c>
      <c r="V15" s="197">
        <f t="shared" si="9"/>
        <v>47774.18088</v>
      </c>
      <c r="W15" s="197">
        <f t="shared" si="9"/>
        <v>54903.29962</v>
      </c>
      <c r="X15" s="197">
        <f t="shared" si="9"/>
        <v>62576.17772</v>
      </c>
      <c r="Y15" s="197">
        <f t="shared" si="9"/>
        <v>70803.69039</v>
      </c>
      <c r="Z15" s="197">
        <f t="shared" si="9"/>
        <v>79596.93031</v>
      </c>
      <c r="AA15" s="197">
        <f t="shared" si="9"/>
        <v>88967.21202</v>
      </c>
      <c r="AB15" s="197">
        <f t="shared" si="9"/>
        <v>98926.07636</v>
      </c>
      <c r="AC15" s="197">
        <f t="shared" si="9"/>
        <v>109485.295</v>
      </c>
      <c r="AD15" s="197">
        <f t="shared" si="9"/>
        <v>120656.875</v>
      </c>
      <c r="AE15" s="197">
        <f t="shared" si="9"/>
        <v>132453.0636</v>
      </c>
      <c r="AF15" s="197">
        <f t="shared" si="9"/>
        <v>144886.3529</v>
      </c>
      <c r="AG15" s="197">
        <f t="shared" si="9"/>
        <v>157969.4851</v>
      </c>
      <c r="AH15" s="197">
        <f t="shared" si="9"/>
        <v>171715.4569</v>
      </c>
      <c r="AI15" s="197">
        <f t="shared" si="9"/>
        <v>186137.5251</v>
      </c>
      <c r="AJ15" s="197">
        <f t="shared" si="9"/>
        <v>201249.2117</v>
      </c>
      <c r="AK15" s="197">
        <f t="shared" si="9"/>
        <v>217064.309</v>
      </c>
      <c r="AL15" s="197">
        <f t="shared" si="9"/>
        <v>233596.8852</v>
      </c>
      <c r="AM15" s="197">
        <f t="shared" si="9"/>
        <v>250861.29</v>
      </c>
    </row>
    <row r="16" ht="15.75" customHeight="1">
      <c r="A16" s="189">
        <f t="shared" si="2"/>
        <v>8</v>
      </c>
      <c r="B16" s="190">
        <f t="shared" si="3"/>
        <v>292113.0842</v>
      </c>
      <c r="C16" s="190">
        <f t="shared" si="4"/>
        <v>1671.57082</v>
      </c>
      <c r="D16" s="190">
        <f t="shared" si="5"/>
        <v>1338.851636</v>
      </c>
      <c r="E16" s="190">
        <f t="shared" si="6"/>
        <v>332.7191839</v>
      </c>
      <c r="F16" s="190">
        <f t="shared" si="1"/>
        <v>291780.365</v>
      </c>
      <c r="G16" s="191">
        <f t="shared" si="7"/>
        <v>152608.822</v>
      </c>
      <c r="H16" s="189"/>
      <c r="I16" s="196"/>
      <c r="J16" s="192"/>
      <c r="K16" s="192"/>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99"/>
    </row>
    <row r="17" ht="15.75" customHeight="1">
      <c r="A17" s="189">
        <f t="shared" si="2"/>
        <v>9</v>
      </c>
      <c r="B17" s="190">
        <f t="shared" si="3"/>
        <v>291780.365</v>
      </c>
      <c r="C17" s="190">
        <f t="shared" si="4"/>
        <v>1671.57082</v>
      </c>
      <c r="D17" s="190">
        <f t="shared" si="5"/>
        <v>1337.326673</v>
      </c>
      <c r="E17" s="190">
        <f t="shared" si="6"/>
        <v>334.2441469</v>
      </c>
      <c r="F17" s="190">
        <f t="shared" si="1"/>
        <v>291446.1209</v>
      </c>
      <c r="G17" s="191">
        <f t="shared" si="7"/>
        <v>152985.1966</v>
      </c>
      <c r="H17" s="189"/>
      <c r="I17" s="196"/>
      <c r="J17" s="192"/>
      <c r="K17" s="192"/>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99"/>
    </row>
    <row r="18" ht="15.75" customHeight="1">
      <c r="A18" s="189">
        <f t="shared" si="2"/>
        <v>10</v>
      </c>
      <c r="B18" s="190">
        <f t="shared" si="3"/>
        <v>291446.1209</v>
      </c>
      <c r="C18" s="190">
        <f t="shared" si="4"/>
        <v>1671.57082</v>
      </c>
      <c r="D18" s="190">
        <f t="shared" si="5"/>
        <v>1335.794721</v>
      </c>
      <c r="E18" s="190">
        <f t="shared" si="6"/>
        <v>335.7760992</v>
      </c>
      <c r="F18" s="190">
        <f t="shared" si="1"/>
        <v>291110.3448</v>
      </c>
      <c r="G18" s="191">
        <f t="shared" si="7"/>
        <v>153362.4993</v>
      </c>
      <c r="H18" s="189"/>
      <c r="I18" s="200"/>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2"/>
    </row>
    <row r="19" ht="15.75" customHeight="1">
      <c r="A19" s="189">
        <f t="shared" si="2"/>
        <v>11</v>
      </c>
      <c r="B19" s="190">
        <f t="shared" si="3"/>
        <v>291110.3448</v>
      </c>
      <c r="C19" s="190">
        <f t="shared" si="4"/>
        <v>1671.57082</v>
      </c>
      <c r="D19" s="190">
        <f t="shared" si="5"/>
        <v>1334.255747</v>
      </c>
      <c r="E19" s="190">
        <f t="shared" si="6"/>
        <v>337.315073</v>
      </c>
      <c r="F19" s="190">
        <f t="shared" si="1"/>
        <v>290773.0297</v>
      </c>
      <c r="G19" s="191">
        <f t="shared" si="7"/>
        <v>153740.7326</v>
      </c>
      <c r="H19" s="189"/>
      <c r="I19" s="189"/>
      <c r="J19" s="192"/>
      <c r="K19" s="192"/>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row>
    <row r="20" ht="15.75" customHeight="1">
      <c r="A20" s="189">
        <f t="shared" si="2"/>
        <v>12</v>
      </c>
      <c r="B20" s="190">
        <f t="shared" si="3"/>
        <v>290773.0297</v>
      </c>
      <c r="C20" s="190">
        <f t="shared" si="4"/>
        <v>1671.57082</v>
      </c>
      <c r="D20" s="190">
        <f t="shared" si="5"/>
        <v>1332.70972</v>
      </c>
      <c r="E20" s="190">
        <f t="shared" si="6"/>
        <v>338.8611004</v>
      </c>
      <c r="F20" s="190">
        <f t="shared" si="1"/>
        <v>290434.1686</v>
      </c>
      <c r="G20" s="191">
        <f t="shared" si="7"/>
        <v>154119.8988</v>
      </c>
      <c r="H20" s="189"/>
      <c r="I20" s="189"/>
      <c r="J20" s="192"/>
      <c r="K20" s="192"/>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row>
    <row r="21" ht="15.75" customHeight="1">
      <c r="A21" s="189">
        <f t="shared" si="2"/>
        <v>13</v>
      </c>
      <c r="B21" s="190">
        <f t="shared" si="3"/>
        <v>290434.1686</v>
      </c>
      <c r="C21" s="190">
        <f t="shared" si="4"/>
        <v>1671.57082</v>
      </c>
      <c r="D21" s="190">
        <f t="shared" si="5"/>
        <v>1331.156606</v>
      </c>
      <c r="E21" s="190">
        <f t="shared" si="6"/>
        <v>340.4142138</v>
      </c>
      <c r="F21" s="190">
        <f t="shared" si="1"/>
        <v>290093.7544</v>
      </c>
      <c r="G21" s="191">
        <f t="shared" si="7"/>
        <v>154500</v>
      </c>
      <c r="H21" s="189"/>
      <c r="I21" s="189"/>
      <c r="J21" s="192"/>
      <c r="K21" s="192"/>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row>
    <row r="22" ht="15.75" customHeight="1">
      <c r="A22" s="189">
        <f t="shared" si="2"/>
        <v>14</v>
      </c>
      <c r="B22" s="190">
        <f t="shared" si="3"/>
        <v>290093.7544</v>
      </c>
      <c r="C22" s="190">
        <f t="shared" si="4"/>
        <v>1671.57082</v>
      </c>
      <c r="D22" s="190">
        <f t="shared" si="5"/>
        <v>1329.596374</v>
      </c>
      <c r="E22" s="190">
        <f t="shared" si="6"/>
        <v>341.9744456</v>
      </c>
      <c r="F22" s="190">
        <f t="shared" si="1"/>
        <v>289751.78</v>
      </c>
      <c r="G22" s="191">
        <f t="shared" si="7"/>
        <v>154881.0387</v>
      </c>
      <c r="H22" s="189"/>
      <c r="I22" s="189"/>
      <c r="J22" s="192"/>
      <c r="K22" s="192"/>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row>
    <row r="23" ht="15.75" customHeight="1">
      <c r="A23" s="189">
        <f t="shared" si="2"/>
        <v>15</v>
      </c>
      <c r="B23" s="190">
        <f t="shared" si="3"/>
        <v>289751.78</v>
      </c>
      <c r="C23" s="190">
        <f t="shared" si="4"/>
        <v>1671.57082</v>
      </c>
      <c r="D23" s="190">
        <f t="shared" si="5"/>
        <v>1328.028991</v>
      </c>
      <c r="E23" s="190">
        <f t="shared" si="6"/>
        <v>343.5418285</v>
      </c>
      <c r="F23" s="190">
        <f t="shared" si="1"/>
        <v>289408.2381</v>
      </c>
      <c r="G23" s="191">
        <f t="shared" si="7"/>
        <v>155263.0171</v>
      </c>
      <c r="H23" s="189"/>
      <c r="I23" s="189"/>
      <c r="J23" s="192"/>
      <c r="K23" s="192"/>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row>
    <row r="24" ht="15.75" customHeight="1">
      <c r="A24" s="189">
        <f t="shared" si="2"/>
        <v>16</v>
      </c>
      <c r="B24" s="190">
        <f t="shared" si="3"/>
        <v>289408.2381</v>
      </c>
      <c r="C24" s="190">
        <f t="shared" si="4"/>
        <v>1671.57082</v>
      </c>
      <c r="D24" s="190">
        <f t="shared" si="5"/>
        <v>1326.454425</v>
      </c>
      <c r="E24" s="190">
        <f t="shared" si="6"/>
        <v>345.1163952</v>
      </c>
      <c r="F24" s="190">
        <f t="shared" si="1"/>
        <v>289063.1217</v>
      </c>
      <c r="G24" s="191">
        <f t="shared" si="7"/>
        <v>155645.9376</v>
      </c>
      <c r="H24" s="189"/>
      <c r="I24" s="189"/>
      <c r="J24" s="192"/>
      <c r="K24" s="192"/>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row>
    <row r="25" ht="15.75" customHeight="1">
      <c r="A25" s="189">
        <f t="shared" si="2"/>
        <v>17</v>
      </c>
      <c r="B25" s="190">
        <f t="shared" si="3"/>
        <v>289063.1217</v>
      </c>
      <c r="C25" s="190">
        <f t="shared" si="4"/>
        <v>1671.57082</v>
      </c>
      <c r="D25" s="190">
        <f t="shared" si="5"/>
        <v>1324.872641</v>
      </c>
      <c r="E25" s="190">
        <f t="shared" si="6"/>
        <v>346.6981787</v>
      </c>
      <c r="F25" s="190">
        <f t="shared" si="1"/>
        <v>288716.4236</v>
      </c>
      <c r="G25" s="191">
        <f t="shared" si="7"/>
        <v>156029.8025</v>
      </c>
      <c r="H25" s="189"/>
      <c r="I25" s="189"/>
      <c r="J25" s="192"/>
      <c r="K25" s="192"/>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row>
    <row r="26" ht="15.75" customHeight="1">
      <c r="A26" s="189">
        <f t="shared" si="2"/>
        <v>18</v>
      </c>
      <c r="B26" s="190">
        <f t="shared" si="3"/>
        <v>288716.4236</v>
      </c>
      <c r="C26" s="190">
        <f t="shared" si="4"/>
        <v>1671.57082</v>
      </c>
      <c r="D26" s="190">
        <f t="shared" si="5"/>
        <v>1323.283608</v>
      </c>
      <c r="E26" s="190">
        <f t="shared" si="6"/>
        <v>348.287212</v>
      </c>
      <c r="F26" s="190">
        <f t="shared" si="1"/>
        <v>288368.1363</v>
      </c>
      <c r="G26" s="191">
        <f t="shared" si="7"/>
        <v>156414.614</v>
      </c>
      <c r="H26" s="189"/>
      <c r="I26" s="189"/>
      <c r="J26" s="192"/>
      <c r="K26" s="192"/>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row>
    <row r="27" ht="15.75" customHeight="1">
      <c r="A27" s="189">
        <f t="shared" si="2"/>
        <v>19</v>
      </c>
      <c r="B27" s="190">
        <f t="shared" si="3"/>
        <v>288368.1363</v>
      </c>
      <c r="C27" s="190">
        <f t="shared" si="4"/>
        <v>1671.57082</v>
      </c>
      <c r="D27" s="190">
        <f t="shared" si="5"/>
        <v>1321.687292</v>
      </c>
      <c r="E27" s="190">
        <f t="shared" si="6"/>
        <v>349.8835284</v>
      </c>
      <c r="F27" s="190">
        <f t="shared" si="1"/>
        <v>288018.2528</v>
      </c>
      <c r="G27" s="191">
        <f t="shared" si="7"/>
        <v>156800.3747</v>
      </c>
      <c r="H27" s="189"/>
      <c r="I27" s="189"/>
      <c r="J27" s="192"/>
      <c r="K27" s="192"/>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row>
    <row r="28" ht="15.75" customHeight="1">
      <c r="A28" s="189">
        <f t="shared" si="2"/>
        <v>20</v>
      </c>
      <c r="B28" s="190">
        <f t="shared" si="3"/>
        <v>288018.2528</v>
      </c>
      <c r="C28" s="190">
        <f t="shared" si="4"/>
        <v>1671.57082</v>
      </c>
      <c r="D28" s="190">
        <f t="shared" si="5"/>
        <v>1320.083659</v>
      </c>
      <c r="E28" s="190">
        <f t="shared" si="6"/>
        <v>351.4871612</v>
      </c>
      <c r="F28" s="190">
        <f t="shared" si="1"/>
        <v>287666.7657</v>
      </c>
      <c r="G28" s="191">
        <f t="shared" si="7"/>
        <v>157187.0867</v>
      </c>
      <c r="H28" s="189"/>
      <c r="I28" s="189"/>
      <c r="J28" s="192"/>
      <c r="K28" s="192"/>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row>
    <row r="29" ht="15.75" customHeight="1">
      <c r="A29" s="189">
        <f t="shared" si="2"/>
        <v>21</v>
      </c>
      <c r="B29" s="190">
        <f t="shared" si="3"/>
        <v>287666.7657</v>
      </c>
      <c r="C29" s="190">
        <f t="shared" si="4"/>
        <v>1671.57082</v>
      </c>
      <c r="D29" s="190">
        <f t="shared" si="5"/>
        <v>1318.472676</v>
      </c>
      <c r="E29" s="190">
        <f t="shared" si="6"/>
        <v>353.098144</v>
      </c>
      <c r="F29" s="190">
        <f t="shared" si="1"/>
        <v>287313.6675</v>
      </c>
      <c r="G29" s="191">
        <f t="shared" si="7"/>
        <v>157574.7525</v>
      </c>
      <c r="H29" s="189"/>
      <c r="I29" s="189"/>
      <c r="J29" s="192"/>
      <c r="K29" s="192"/>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row>
    <row r="30" ht="15.75" customHeight="1">
      <c r="A30" s="189">
        <f t="shared" si="2"/>
        <v>22</v>
      </c>
      <c r="B30" s="190">
        <f t="shared" si="3"/>
        <v>287313.6675</v>
      </c>
      <c r="C30" s="190">
        <f t="shared" si="4"/>
        <v>1671.57082</v>
      </c>
      <c r="D30" s="190">
        <f t="shared" si="5"/>
        <v>1316.854309</v>
      </c>
      <c r="E30" s="190">
        <f t="shared" si="6"/>
        <v>354.7165105</v>
      </c>
      <c r="F30" s="190">
        <f t="shared" si="1"/>
        <v>286958.951</v>
      </c>
      <c r="G30" s="191">
        <f t="shared" si="7"/>
        <v>157963.3743</v>
      </c>
      <c r="H30" s="189"/>
      <c r="I30" s="189"/>
      <c r="J30" s="192"/>
      <c r="K30" s="192"/>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row>
    <row r="31" ht="15.75" customHeight="1">
      <c r="A31" s="189">
        <f t="shared" si="2"/>
        <v>23</v>
      </c>
      <c r="B31" s="190">
        <f t="shared" si="3"/>
        <v>286958.951</v>
      </c>
      <c r="C31" s="190">
        <f t="shared" si="4"/>
        <v>1671.57082</v>
      </c>
      <c r="D31" s="190">
        <f t="shared" si="5"/>
        <v>1315.228525</v>
      </c>
      <c r="E31" s="190">
        <f t="shared" si="6"/>
        <v>356.3422945</v>
      </c>
      <c r="F31" s="190">
        <f t="shared" si="1"/>
        <v>286602.6087</v>
      </c>
      <c r="G31" s="191">
        <f t="shared" si="7"/>
        <v>158352.9546</v>
      </c>
      <c r="H31" s="189"/>
      <c r="I31" s="189"/>
      <c r="J31" s="192"/>
      <c r="K31" s="192"/>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row>
    <row r="32" ht="15.75" customHeight="1">
      <c r="A32" s="189">
        <f t="shared" si="2"/>
        <v>24</v>
      </c>
      <c r="B32" s="190">
        <f t="shared" si="3"/>
        <v>286602.6087</v>
      </c>
      <c r="C32" s="190">
        <f t="shared" si="4"/>
        <v>1671.57082</v>
      </c>
      <c r="D32" s="190">
        <f t="shared" si="5"/>
        <v>1313.59529</v>
      </c>
      <c r="E32" s="190">
        <f t="shared" si="6"/>
        <v>357.9755301</v>
      </c>
      <c r="F32" s="190">
        <f t="shared" si="1"/>
        <v>286244.6332</v>
      </c>
      <c r="G32" s="191">
        <f t="shared" si="7"/>
        <v>158743.4957</v>
      </c>
      <c r="H32" s="189"/>
      <c r="I32" s="189"/>
      <c r="J32" s="192"/>
      <c r="K32" s="192"/>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row>
    <row r="33" ht="15.75" customHeight="1">
      <c r="A33" s="189">
        <f t="shared" si="2"/>
        <v>25</v>
      </c>
      <c r="B33" s="190">
        <f t="shared" si="3"/>
        <v>286244.6332</v>
      </c>
      <c r="C33" s="190">
        <f t="shared" si="4"/>
        <v>1671.57082</v>
      </c>
      <c r="D33" s="190">
        <f t="shared" si="5"/>
        <v>1311.954569</v>
      </c>
      <c r="E33" s="190">
        <f t="shared" si="6"/>
        <v>359.6162512</v>
      </c>
      <c r="F33" s="190">
        <f t="shared" si="1"/>
        <v>285885.0169</v>
      </c>
      <c r="G33" s="191">
        <f t="shared" si="7"/>
        <v>159135</v>
      </c>
      <c r="H33" s="189"/>
      <c r="I33" s="189"/>
      <c r="J33" s="192"/>
      <c r="K33" s="192"/>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row>
    <row r="34" ht="15.75" customHeight="1">
      <c r="A34" s="189">
        <f t="shared" si="2"/>
        <v>26</v>
      </c>
      <c r="B34" s="190">
        <f t="shared" si="3"/>
        <v>285885.0169</v>
      </c>
      <c r="C34" s="190">
        <f t="shared" si="4"/>
        <v>1671.57082</v>
      </c>
      <c r="D34" s="190">
        <f t="shared" si="5"/>
        <v>1310.306328</v>
      </c>
      <c r="E34" s="190">
        <f t="shared" si="6"/>
        <v>361.2644924</v>
      </c>
      <c r="F34" s="190">
        <f t="shared" si="1"/>
        <v>285523.7524</v>
      </c>
      <c r="G34" s="191">
        <f t="shared" si="7"/>
        <v>159527.4698</v>
      </c>
      <c r="H34" s="189"/>
      <c r="I34" s="189"/>
      <c r="J34" s="192"/>
      <c r="K34" s="192"/>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row>
    <row r="35" ht="15.75" customHeight="1">
      <c r="A35" s="189">
        <f t="shared" si="2"/>
        <v>27</v>
      </c>
      <c r="B35" s="190">
        <f t="shared" si="3"/>
        <v>285523.7524</v>
      </c>
      <c r="C35" s="190">
        <f t="shared" si="4"/>
        <v>1671.57082</v>
      </c>
      <c r="D35" s="190">
        <f t="shared" si="5"/>
        <v>1308.650532</v>
      </c>
      <c r="E35" s="190">
        <f t="shared" si="6"/>
        <v>362.920288</v>
      </c>
      <c r="F35" s="190">
        <f t="shared" si="1"/>
        <v>285160.8321</v>
      </c>
      <c r="G35" s="191">
        <f t="shared" si="7"/>
        <v>159920.9076</v>
      </c>
      <c r="H35" s="189"/>
      <c r="I35" s="189"/>
      <c r="J35" s="192"/>
      <c r="K35" s="192"/>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row>
    <row r="36" ht="15.75" customHeight="1">
      <c r="A36" s="189">
        <f t="shared" si="2"/>
        <v>28</v>
      </c>
      <c r="B36" s="190">
        <f t="shared" si="3"/>
        <v>285160.8321</v>
      </c>
      <c r="C36" s="190">
        <f t="shared" si="4"/>
        <v>1671.57082</v>
      </c>
      <c r="D36" s="190">
        <f t="shared" si="5"/>
        <v>1306.987147</v>
      </c>
      <c r="E36" s="190">
        <f t="shared" si="6"/>
        <v>364.5836726</v>
      </c>
      <c r="F36" s="190">
        <f t="shared" si="1"/>
        <v>284796.2485</v>
      </c>
      <c r="G36" s="191">
        <f t="shared" si="7"/>
        <v>160315.3157</v>
      </c>
      <c r="H36" s="189"/>
      <c r="I36" s="189"/>
      <c r="J36" s="192"/>
      <c r="K36" s="192"/>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row>
    <row r="37" ht="15.75" customHeight="1">
      <c r="A37" s="189">
        <f t="shared" si="2"/>
        <v>29</v>
      </c>
      <c r="B37" s="190">
        <f t="shared" si="3"/>
        <v>284796.2485</v>
      </c>
      <c r="C37" s="190">
        <f t="shared" si="4"/>
        <v>1671.57082</v>
      </c>
      <c r="D37" s="190">
        <f t="shared" si="5"/>
        <v>1305.316139</v>
      </c>
      <c r="E37" s="190">
        <f t="shared" si="6"/>
        <v>366.2546811</v>
      </c>
      <c r="F37" s="190">
        <f t="shared" si="1"/>
        <v>284429.9938</v>
      </c>
      <c r="G37" s="191">
        <f t="shared" si="7"/>
        <v>160710.6965</v>
      </c>
      <c r="H37" s="189"/>
      <c r="I37" s="189"/>
      <c r="J37" s="192"/>
      <c r="K37" s="192"/>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row>
    <row r="38" ht="15.75" customHeight="1">
      <c r="A38" s="189">
        <f t="shared" si="2"/>
        <v>30</v>
      </c>
      <c r="B38" s="190">
        <f t="shared" si="3"/>
        <v>284429.9938</v>
      </c>
      <c r="C38" s="190">
        <f t="shared" si="4"/>
        <v>1671.57082</v>
      </c>
      <c r="D38" s="190">
        <f t="shared" si="5"/>
        <v>1303.637472</v>
      </c>
      <c r="E38" s="190">
        <f t="shared" si="6"/>
        <v>367.9333484</v>
      </c>
      <c r="F38" s="190">
        <f t="shared" si="1"/>
        <v>284062.0604</v>
      </c>
      <c r="G38" s="191">
        <f t="shared" si="7"/>
        <v>161107.0525</v>
      </c>
      <c r="H38" s="189"/>
      <c r="I38" s="189"/>
      <c r="J38" s="192"/>
      <c r="K38" s="192"/>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row>
    <row r="39" ht="15.75" customHeight="1">
      <c r="A39" s="189">
        <f t="shared" si="2"/>
        <v>31</v>
      </c>
      <c r="B39" s="190">
        <f t="shared" si="3"/>
        <v>284062.0604</v>
      </c>
      <c r="C39" s="190">
        <f t="shared" si="4"/>
        <v>1671.57082</v>
      </c>
      <c r="D39" s="190">
        <f t="shared" si="5"/>
        <v>1301.95111</v>
      </c>
      <c r="E39" s="190">
        <f t="shared" si="6"/>
        <v>369.6197096</v>
      </c>
      <c r="F39" s="190">
        <f t="shared" si="1"/>
        <v>283692.4407</v>
      </c>
      <c r="G39" s="191">
        <f t="shared" si="7"/>
        <v>161504.3859</v>
      </c>
      <c r="H39" s="189"/>
      <c r="I39" s="189"/>
      <c r="J39" s="192"/>
      <c r="K39" s="192"/>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row>
    <row r="40" ht="15.75" customHeight="1">
      <c r="A40" s="189">
        <f t="shared" si="2"/>
        <v>32</v>
      </c>
      <c r="B40" s="190">
        <f t="shared" si="3"/>
        <v>283692.4407</v>
      </c>
      <c r="C40" s="190">
        <f t="shared" si="4"/>
        <v>1671.57082</v>
      </c>
      <c r="D40" s="190">
        <f t="shared" si="5"/>
        <v>1300.25702</v>
      </c>
      <c r="E40" s="190">
        <f t="shared" si="6"/>
        <v>371.3137999</v>
      </c>
      <c r="F40" s="190">
        <f t="shared" si="1"/>
        <v>283321.1269</v>
      </c>
      <c r="G40" s="191">
        <f t="shared" si="7"/>
        <v>161902.6993</v>
      </c>
      <c r="H40" s="189"/>
      <c r="I40" s="189"/>
      <c r="J40" s="192"/>
      <c r="K40" s="192"/>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row>
    <row r="41" ht="15.75" customHeight="1">
      <c r="A41" s="189">
        <f t="shared" si="2"/>
        <v>33</v>
      </c>
      <c r="B41" s="190">
        <f t="shared" si="3"/>
        <v>283321.1269</v>
      </c>
      <c r="C41" s="190">
        <f t="shared" si="4"/>
        <v>1671.57082</v>
      </c>
      <c r="D41" s="190">
        <f t="shared" si="5"/>
        <v>1298.555165</v>
      </c>
      <c r="E41" s="190">
        <f t="shared" si="6"/>
        <v>373.0156548</v>
      </c>
      <c r="F41" s="190">
        <f t="shared" si="1"/>
        <v>282948.1113</v>
      </c>
      <c r="G41" s="191">
        <f t="shared" si="7"/>
        <v>162301.995</v>
      </c>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row>
    <row r="42" ht="15.75" customHeight="1">
      <c r="A42" s="189">
        <f t="shared" si="2"/>
        <v>34</v>
      </c>
      <c r="B42" s="190">
        <f t="shared" si="3"/>
        <v>282948.1113</v>
      </c>
      <c r="C42" s="190">
        <f t="shared" si="4"/>
        <v>1671.57082</v>
      </c>
      <c r="D42" s="190">
        <f t="shared" si="5"/>
        <v>1296.84551</v>
      </c>
      <c r="E42" s="190">
        <f t="shared" si="6"/>
        <v>374.7253099</v>
      </c>
      <c r="F42" s="190">
        <f t="shared" si="1"/>
        <v>282573.386</v>
      </c>
      <c r="G42" s="191">
        <f t="shared" si="7"/>
        <v>162702.2755</v>
      </c>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row>
    <row r="43" ht="15.75" customHeight="1">
      <c r="A43" s="189">
        <f t="shared" si="2"/>
        <v>35</v>
      </c>
      <c r="B43" s="190">
        <f t="shared" si="3"/>
        <v>282573.386</v>
      </c>
      <c r="C43" s="190">
        <f t="shared" si="4"/>
        <v>1671.57082</v>
      </c>
      <c r="D43" s="190">
        <f t="shared" si="5"/>
        <v>1295.128019</v>
      </c>
      <c r="E43" s="190">
        <f t="shared" si="6"/>
        <v>376.4428009</v>
      </c>
      <c r="F43" s="190">
        <f t="shared" si="1"/>
        <v>282196.9432</v>
      </c>
      <c r="G43" s="191">
        <f t="shared" si="7"/>
        <v>163103.5432</v>
      </c>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row>
    <row r="44" ht="15.75" customHeight="1">
      <c r="A44" s="189">
        <f t="shared" si="2"/>
        <v>36</v>
      </c>
      <c r="B44" s="190">
        <f t="shared" si="3"/>
        <v>282196.9432</v>
      </c>
      <c r="C44" s="190">
        <f t="shared" si="4"/>
        <v>1671.57082</v>
      </c>
      <c r="D44" s="190">
        <f t="shared" si="5"/>
        <v>1293.402656</v>
      </c>
      <c r="E44" s="190">
        <f t="shared" si="6"/>
        <v>378.1681638</v>
      </c>
      <c r="F44" s="190">
        <f t="shared" si="1"/>
        <v>281818.775</v>
      </c>
      <c r="G44" s="191">
        <f t="shared" si="7"/>
        <v>163505.8006</v>
      </c>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row>
    <row r="45" ht="15.75" customHeight="1">
      <c r="A45" s="189">
        <f t="shared" si="2"/>
        <v>37</v>
      </c>
      <c r="B45" s="190">
        <f t="shared" si="3"/>
        <v>281818.775</v>
      </c>
      <c r="C45" s="190">
        <f t="shared" si="4"/>
        <v>1671.57082</v>
      </c>
      <c r="D45" s="190">
        <f t="shared" si="5"/>
        <v>1291.669385</v>
      </c>
      <c r="E45" s="190">
        <f t="shared" si="6"/>
        <v>379.9014345</v>
      </c>
      <c r="F45" s="190">
        <f t="shared" si="1"/>
        <v>281438.8736</v>
      </c>
      <c r="G45" s="191">
        <f t="shared" si="7"/>
        <v>163909.05</v>
      </c>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row>
    <row r="46" ht="15.75" customHeight="1">
      <c r="A46" s="189">
        <f t="shared" si="2"/>
        <v>38</v>
      </c>
      <c r="B46" s="190">
        <f t="shared" si="3"/>
        <v>281438.8736</v>
      </c>
      <c r="C46" s="190">
        <f t="shared" si="4"/>
        <v>1671.57082</v>
      </c>
      <c r="D46" s="190">
        <f t="shared" si="5"/>
        <v>1289.928171</v>
      </c>
      <c r="E46" s="190">
        <f t="shared" si="6"/>
        <v>381.6426494</v>
      </c>
      <c r="F46" s="190">
        <f t="shared" si="1"/>
        <v>281057.2309</v>
      </c>
      <c r="G46" s="191">
        <f t="shared" si="7"/>
        <v>164313.2939</v>
      </c>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row>
    <row r="47" ht="15.75" customHeight="1">
      <c r="A47" s="189">
        <f t="shared" si="2"/>
        <v>39</v>
      </c>
      <c r="B47" s="190">
        <f t="shared" si="3"/>
        <v>281057.2309</v>
      </c>
      <c r="C47" s="190">
        <f t="shared" si="4"/>
        <v>1671.57082</v>
      </c>
      <c r="D47" s="190">
        <f t="shared" si="5"/>
        <v>1288.178975</v>
      </c>
      <c r="E47" s="190">
        <f t="shared" si="6"/>
        <v>383.3918449</v>
      </c>
      <c r="F47" s="190">
        <f t="shared" si="1"/>
        <v>280673.8391</v>
      </c>
      <c r="G47" s="191">
        <f t="shared" si="7"/>
        <v>164718.5348</v>
      </c>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row>
    <row r="48" ht="15.75" customHeight="1">
      <c r="A48" s="189">
        <f t="shared" si="2"/>
        <v>40</v>
      </c>
      <c r="B48" s="190">
        <f t="shared" si="3"/>
        <v>280673.8391</v>
      </c>
      <c r="C48" s="190">
        <f t="shared" si="4"/>
        <v>1671.57082</v>
      </c>
      <c r="D48" s="190">
        <f t="shared" si="5"/>
        <v>1286.421762</v>
      </c>
      <c r="E48" s="190">
        <f t="shared" si="6"/>
        <v>385.1490575</v>
      </c>
      <c r="F48" s="190">
        <f t="shared" si="1"/>
        <v>280288.69</v>
      </c>
      <c r="G48" s="191">
        <f t="shared" si="7"/>
        <v>165124.7752</v>
      </c>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row>
    <row r="49" ht="15.75" customHeight="1">
      <c r="A49" s="189">
        <f t="shared" si="2"/>
        <v>41</v>
      </c>
      <c r="B49" s="190">
        <f t="shared" si="3"/>
        <v>280288.69</v>
      </c>
      <c r="C49" s="190">
        <f t="shared" si="4"/>
        <v>1671.57082</v>
      </c>
      <c r="D49" s="190">
        <f t="shared" si="5"/>
        <v>1284.656496</v>
      </c>
      <c r="E49" s="190">
        <f t="shared" si="6"/>
        <v>386.914324</v>
      </c>
      <c r="F49" s="190">
        <f t="shared" si="1"/>
        <v>279901.7757</v>
      </c>
      <c r="G49" s="191">
        <f t="shared" si="7"/>
        <v>165532.0174</v>
      </c>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row>
    <row r="50" ht="15.75" customHeight="1">
      <c r="A50" s="189">
        <f t="shared" si="2"/>
        <v>42</v>
      </c>
      <c r="B50" s="190">
        <f t="shared" si="3"/>
        <v>279901.7757</v>
      </c>
      <c r="C50" s="190">
        <f t="shared" si="4"/>
        <v>1671.57082</v>
      </c>
      <c r="D50" s="190">
        <f t="shared" si="5"/>
        <v>1282.883139</v>
      </c>
      <c r="E50" s="190">
        <f t="shared" si="6"/>
        <v>388.6876814</v>
      </c>
      <c r="F50" s="190">
        <f t="shared" si="1"/>
        <v>279513.088</v>
      </c>
      <c r="G50" s="191">
        <f t="shared" si="7"/>
        <v>165940.264</v>
      </c>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row>
    <row r="51" ht="15.75" customHeight="1">
      <c r="A51" s="189">
        <f t="shared" si="2"/>
        <v>43</v>
      </c>
      <c r="B51" s="190">
        <f t="shared" si="3"/>
        <v>279513.088</v>
      </c>
      <c r="C51" s="190">
        <f t="shared" si="4"/>
        <v>1671.57082</v>
      </c>
      <c r="D51" s="190">
        <f t="shared" si="5"/>
        <v>1281.101653</v>
      </c>
      <c r="E51" s="190">
        <f t="shared" si="6"/>
        <v>390.4691666</v>
      </c>
      <c r="F51" s="190">
        <f t="shared" si="1"/>
        <v>279122.6188</v>
      </c>
      <c r="G51" s="191">
        <f t="shared" si="7"/>
        <v>166349.5175</v>
      </c>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row>
    <row r="52" ht="15.75" customHeight="1">
      <c r="A52" s="189">
        <f t="shared" si="2"/>
        <v>44</v>
      </c>
      <c r="B52" s="190">
        <f t="shared" si="3"/>
        <v>279122.6188</v>
      </c>
      <c r="C52" s="190">
        <f t="shared" si="4"/>
        <v>1671.57082</v>
      </c>
      <c r="D52" s="190">
        <f t="shared" si="5"/>
        <v>1279.312003</v>
      </c>
      <c r="E52" s="190">
        <f t="shared" si="6"/>
        <v>392.2588169</v>
      </c>
      <c r="F52" s="190">
        <f t="shared" si="1"/>
        <v>278730.36</v>
      </c>
      <c r="G52" s="191">
        <f t="shared" si="7"/>
        <v>166759.7803</v>
      </c>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row>
    <row r="53" ht="15.75" customHeight="1">
      <c r="A53" s="189">
        <f t="shared" si="2"/>
        <v>45</v>
      </c>
      <c r="B53" s="190">
        <f t="shared" si="3"/>
        <v>278730.36</v>
      </c>
      <c r="C53" s="190">
        <f t="shared" si="4"/>
        <v>1671.57082</v>
      </c>
      <c r="D53" s="190">
        <f t="shared" si="5"/>
        <v>1277.51415</v>
      </c>
      <c r="E53" s="190">
        <f t="shared" si="6"/>
        <v>394.0566698</v>
      </c>
      <c r="F53" s="190">
        <f t="shared" si="1"/>
        <v>278336.3034</v>
      </c>
      <c r="G53" s="191">
        <f t="shared" si="7"/>
        <v>167171.0549</v>
      </c>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row>
    <row r="54" ht="15.75" customHeight="1">
      <c r="A54" s="189">
        <f t="shared" si="2"/>
        <v>46</v>
      </c>
      <c r="B54" s="190">
        <f t="shared" si="3"/>
        <v>278336.3034</v>
      </c>
      <c r="C54" s="190">
        <f t="shared" si="4"/>
        <v>1671.57082</v>
      </c>
      <c r="D54" s="190">
        <f t="shared" si="5"/>
        <v>1275.708057</v>
      </c>
      <c r="E54" s="190">
        <f t="shared" si="6"/>
        <v>395.8627629</v>
      </c>
      <c r="F54" s="190">
        <f t="shared" si="1"/>
        <v>277940.4406</v>
      </c>
      <c r="G54" s="191">
        <f t="shared" si="7"/>
        <v>167583.3438</v>
      </c>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row>
    <row r="55" ht="15.75" customHeight="1">
      <c r="A55" s="189">
        <f t="shared" si="2"/>
        <v>47</v>
      </c>
      <c r="B55" s="190">
        <f t="shared" si="3"/>
        <v>277940.4406</v>
      </c>
      <c r="C55" s="190">
        <f t="shared" si="4"/>
        <v>1671.57082</v>
      </c>
      <c r="D55" s="190">
        <f t="shared" si="5"/>
        <v>1273.893686</v>
      </c>
      <c r="E55" s="190">
        <f t="shared" si="6"/>
        <v>397.6771339</v>
      </c>
      <c r="F55" s="190">
        <f t="shared" si="1"/>
        <v>277542.7635</v>
      </c>
      <c r="G55" s="191">
        <f t="shared" si="7"/>
        <v>167996.6495</v>
      </c>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row>
    <row r="56" ht="15.75" customHeight="1">
      <c r="A56" s="189">
        <f t="shared" si="2"/>
        <v>48</v>
      </c>
      <c r="B56" s="190">
        <f t="shared" si="3"/>
        <v>277542.7635</v>
      </c>
      <c r="C56" s="190">
        <f t="shared" si="4"/>
        <v>1671.57082</v>
      </c>
      <c r="D56" s="190">
        <f t="shared" si="5"/>
        <v>1272.070999</v>
      </c>
      <c r="E56" s="190">
        <f t="shared" si="6"/>
        <v>399.4998208</v>
      </c>
      <c r="F56" s="190">
        <f t="shared" si="1"/>
        <v>277143.2636</v>
      </c>
      <c r="G56" s="191">
        <f t="shared" si="7"/>
        <v>168410.9746</v>
      </c>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row>
    <row r="57" ht="15.75" customHeight="1">
      <c r="A57" s="189">
        <f t="shared" si="2"/>
        <v>49</v>
      </c>
      <c r="B57" s="190">
        <f t="shared" si="3"/>
        <v>277143.2636</v>
      </c>
      <c r="C57" s="190">
        <f t="shared" si="4"/>
        <v>1671.57082</v>
      </c>
      <c r="D57" s="190">
        <f t="shared" si="5"/>
        <v>1270.239958</v>
      </c>
      <c r="E57" s="190">
        <f t="shared" si="6"/>
        <v>401.3308616</v>
      </c>
      <c r="F57" s="190">
        <f t="shared" si="1"/>
        <v>276741.9328</v>
      </c>
      <c r="G57" s="191">
        <f t="shared" si="7"/>
        <v>168826.3215</v>
      </c>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row>
    <row r="58" ht="15.75" customHeight="1">
      <c r="A58" s="189">
        <f t="shared" si="2"/>
        <v>50</v>
      </c>
      <c r="B58" s="190">
        <f t="shared" si="3"/>
        <v>276741.9328</v>
      </c>
      <c r="C58" s="190">
        <f t="shared" si="4"/>
        <v>1671.57082</v>
      </c>
      <c r="D58" s="190">
        <f t="shared" si="5"/>
        <v>1268.400525</v>
      </c>
      <c r="E58" s="190">
        <f t="shared" si="6"/>
        <v>403.1702947</v>
      </c>
      <c r="F58" s="190">
        <f t="shared" si="1"/>
        <v>276338.7625</v>
      </c>
      <c r="G58" s="191">
        <f t="shared" si="7"/>
        <v>169242.6928</v>
      </c>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row>
    <row r="59" ht="15.75" customHeight="1">
      <c r="A59" s="189">
        <f t="shared" si="2"/>
        <v>51</v>
      </c>
      <c r="B59" s="190">
        <f t="shared" si="3"/>
        <v>276338.7625</v>
      </c>
      <c r="C59" s="190">
        <f t="shared" si="4"/>
        <v>1671.57082</v>
      </c>
      <c r="D59" s="190">
        <f t="shared" si="5"/>
        <v>1266.552661</v>
      </c>
      <c r="E59" s="190">
        <f t="shared" si="6"/>
        <v>405.0181586</v>
      </c>
      <c r="F59" s="190">
        <f t="shared" si="1"/>
        <v>275933.7443</v>
      </c>
      <c r="G59" s="191">
        <f t="shared" si="7"/>
        <v>169660.0909</v>
      </c>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row>
    <row r="60" ht="15.75" customHeight="1">
      <c r="A60" s="189">
        <f t="shared" si="2"/>
        <v>52</v>
      </c>
      <c r="B60" s="190">
        <f t="shared" si="3"/>
        <v>275933.7443</v>
      </c>
      <c r="C60" s="190">
        <f t="shared" si="4"/>
        <v>1671.57082</v>
      </c>
      <c r="D60" s="190">
        <f t="shared" si="5"/>
        <v>1264.696328</v>
      </c>
      <c r="E60" s="190">
        <f t="shared" si="6"/>
        <v>406.8744918</v>
      </c>
      <c r="F60" s="190">
        <f t="shared" si="1"/>
        <v>275526.8698</v>
      </c>
      <c r="G60" s="191">
        <f t="shared" si="7"/>
        <v>170078.5184</v>
      </c>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row>
    <row r="61" ht="15.75" customHeight="1">
      <c r="A61" s="189">
        <f t="shared" si="2"/>
        <v>53</v>
      </c>
      <c r="B61" s="190">
        <f t="shared" si="3"/>
        <v>275526.8698</v>
      </c>
      <c r="C61" s="190">
        <f t="shared" si="4"/>
        <v>1671.57082</v>
      </c>
      <c r="D61" s="190">
        <f t="shared" si="5"/>
        <v>1262.831487</v>
      </c>
      <c r="E61" s="190">
        <f t="shared" si="6"/>
        <v>408.7393332</v>
      </c>
      <c r="F61" s="190">
        <f t="shared" si="1"/>
        <v>275118.1305</v>
      </c>
      <c r="G61" s="191">
        <f t="shared" si="7"/>
        <v>170497.978</v>
      </c>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row>
    <row r="62" ht="15.75" customHeight="1">
      <c r="A62" s="189">
        <f t="shared" si="2"/>
        <v>54</v>
      </c>
      <c r="B62" s="190">
        <f t="shared" si="3"/>
        <v>275118.1305</v>
      </c>
      <c r="C62" s="190">
        <f t="shared" si="4"/>
        <v>1671.57082</v>
      </c>
      <c r="D62" s="190">
        <f t="shared" si="5"/>
        <v>1260.958098</v>
      </c>
      <c r="E62" s="190">
        <f t="shared" si="6"/>
        <v>410.6127218</v>
      </c>
      <c r="F62" s="190">
        <f t="shared" si="1"/>
        <v>274707.5178</v>
      </c>
      <c r="G62" s="191">
        <f t="shared" si="7"/>
        <v>170918.472</v>
      </c>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row>
    <row r="63" ht="15.75" customHeight="1">
      <c r="A63" s="189">
        <f t="shared" si="2"/>
        <v>55</v>
      </c>
      <c r="B63" s="190">
        <f t="shared" si="3"/>
        <v>274707.5178</v>
      </c>
      <c r="C63" s="190">
        <f t="shared" si="4"/>
        <v>1671.57082</v>
      </c>
      <c r="D63" s="190">
        <f t="shared" si="5"/>
        <v>1259.076123</v>
      </c>
      <c r="E63" s="190">
        <f t="shared" si="6"/>
        <v>412.4946968</v>
      </c>
      <c r="F63" s="190">
        <f t="shared" si="1"/>
        <v>274295.0231</v>
      </c>
      <c r="G63" s="191">
        <f t="shared" si="7"/>
        <v>171340.003</v>
      </c>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row>
    <row r="64" ht="15.75" customHeight="1">
      <c r="A64" s="189">
        <f t="shared" si="2"/>
        <v>56</v>
      </c>
      <c r="B64" s="190">
        <f t="shared" si="3"/>
        <v>274295.0231</v>
      </c>
      <c r="C64" s="190">
        <f t="shared" si="4"/>
        <v>1671.57082</v>
      </c>
      <c r="D64" s="190">
        <f t="shared" si="5"/>
        <v>1257.185522</v>
      </c>
      <c r="E64" s="190">
        <f t="shared" si="6"/>
        <v>414.3852975</v>
      </c>
      <c r="F64" s="190">
        <f t="shared" si="1"/>
        <v>273880.6378</v>
      </c>
      <c r="G64" s="191">
        <f t="shared" si="7"/>
        <v>171762.5737</v>
      </c>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row>
    <row r="65" ht="15.75" customHeight="1">
      <c r="A65" s="189">
        <f t="shared" si="2"/>
        <v>57</v>
      </c>
      <c r="B65" s="190">
        <f t="shared" si="3"/>
        <v>273880.6378</v>
      </c>
      <c r="C65" s="190">
        <f t="shared" si="4"/>
        <v>1671.57082</v>
      </c>
      <c r="D65" s="190">
        <f t="shared" si="5"/>
        <v>1255.286257</v>
      </c>
      <c r="E65" s="190">
        <f t="shared" si="6"/>
        <v>416.2845634</v>
      </c>
      <c r="F65" s="190">
        <f t="shared" si="1"/>
        <v>273464.3532</v>
      </c>
      <c r="G65" s="191">
        <f t="shared" si="7"/>
        <v>172186.1865</v>
      </c>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row>
    <row r="66" ht="15.75" customHeight="1">
      <c r="A66" s="189">
        <f t="shared" si="2"/>
        <v>58</v>
      </c>
      <c r="B66" s="190">
        <f t="shared" si="3"/>
        <v>273464.3532</v>
      </c>
      <c r="C66" s="190">
        <f t="shared" si="4"/>
        <v>1671.57082</v>
      </c>
      <c r="D66" s="190">
        <f t="shared" si="5"/>
        <v>1253.378286</v>
      </c>
      <c r="E66" s="190">
        <f t="shared" si="6"/>
        <v>418.1925344</v>
      </c>
      <c r="F66" s="190">
        <f t="shared" si="1"/>
        <v>273046.1607</v>
      </c>
      <c r="G66" s="191">
        <f t="shared" si="7"/>
        <v>172610.8441</v>
      </c>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row>
    <row r="67" ht="15.75" customHeight="1">
      <c r="A67" s="189">
        <f t="shared" si="2"/>
        <v>59</v>
      </c>
      <c r="B67" s="190">
        <f t="shared" si="3"/>
        <v>273046.1607</v>
      </c>
      <c r="C67" s="190">
        <f t="shared" si="4"/>
        <v>1671.57082</v>
      </c>
      <c r="D67" s="190">
        <f t="shared" si="5"/>
        <v>1251.46157</v>
      </c>
      <c r="E67" s="190">
        <f t="shared" si="6"/>
        <v>420.1092501</v>
      </c>
      <c r="F67" s="190">
        <f t="shared" si="1"/>
        <v>272626.0514</v>
      </c>
      <c r="G67" s="191">
        <f t="shared" si="7"/>
        <v>173036.549</v>
      </c>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row>
    <row r="68" ht="15.75" customHeight="1">
      <c r="A68" s="189">
        <f t="shared" si="2"/>
        <v>60</v>
      </c>
      <c r="B68" s="190">
        <f t="shared" si="3"/>
        <v>272626.0514</v>
      </c>
      <c r="C68" s="190">
        <f t="shared" si="4"/>
        <v>1671.57082</v>
      </c>
      <c r="D68" s="190">
        <f t="shared" si="5"/>
        <v>1249.536069</v>
      </c>
      <c r="E68" s="190">
        <f t="shared" si="6"/>
        <v>422.0347509</v>
      </c>
      <c r="F68" s="190">
        <f t="shared" si="1"/>
        <v>272204.0167</v>
      </c>
      <c r="G68" s="191">
        <f t="shared" si="7"/>
        <v>173463.3038</v>
      </c>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row>
    <row r="69" ht="15.75" customHeight="1">
      <c r="A69" s="189">
        <f t="shared" si="2"/>
        <v>61</v>
      </c>
      <c r="B69" s="190">
        <f t="shared" si="3"/>
        <v>272204.0167</v>
      </c>
      <c r="C69" s="190">
        <f t="shared" si="4"/>
        <v>1671.57082</v>
      </c>
      <c r="D69" s="190">
        <f t="shared" si="5"/>
        <v>1247.601743</v>
      </c>
      <c r="E69" s="190">
        <f t="shared" si="6"/>
        <v>423.9690768</v>
      </c>
      <c r="F69" s="190">
        <f t="shared" si="1"/>
        <v>271780.0476</v>
      </c>
      <c r="G69" s="191">
        <f t="shared" si="7"/>
        <v>173891.1111</v>
      </c>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row>
    <row r="70" ht="15.75" customHeight="1">
      <c r="A70" s="189">
        <f t="shared" si="2"/>
        <v>62</v>
      </c>
      <c r="B70" s="190">
        <f t="shared" si="3"/>
        <v>271780.0476</v>
      </c>
      <c r="C70" s="190">
        <f t="shared" si="4"/>
        <v>1671.57082</v>
      </c>
      <c r="D70" s="190">
        <f t="shared" si="5"/>
        <v>1245.658552</v>
      </c>
      <c r="E70" s="190">
        <f t="shared" si="6"/>
        <v>425.9122684</v>
      </c>
      <c r="F70" s="190">
        <f t="shared" si="1"/>
        <v>271354.1353</v>
      </c>
      <c r="G70" s="191">
        <f t="shared" si="7"/>
        <v>174319.9735</v>
      </c>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row>
    <row r="71" ht="15.75" customHeight="1">
      <c r="A71" s="189">
        <f t="shared" si="2"/>
        <v>63</v>
      </c>
      <c r="B71" s="190">
        <f t="shared" si="3"/>
        <v>271354.1353</v>
      </c>
      <c r="C71" s="190">
        <f t="shared" si="4"/>
        <v>1671.57082</v>
      </c>
      <c r="D71" s="190">
        <f t="shared" si="5"/>
        <v>1243.706454</v>
      </c>
      <c r="E71" s="190">
        <f t="shared" si="6"/>
        <v>427.8643663</v>
      </c>
      <c r="F71" s="190">
        <f t="shared" si="1"/>
        <v>270926.271</v>
      </c>
      <c r="G71" s="191">
        <f t="shared" si="7"/>
        <v>174749.8936</v>
      </c>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row>
    <row r="72" ht="15.75" customHeight="1">
      <c r="A72" s="189">
        <f t="shared" si="2"/>
        <v>64</v>
      </c>
      <c r="B72" s="190">
        <f t="shared" si="3"/>
        <v>270926.271</v>
      </c>
      <c r="C72" s="190">
        <f t="shared" si="4"/>
        <v>1671.57082</v>
      </c>
      <c r="D72" s="190">
        <f t="shared" si="5"/>
        <v>1241.745409</v>
      </c>
      <c r="E72" s="190">
        <f t="shared" si="6"/>
        <v>429.8254113</v>
      </c>
      <c r="F72" s="190">
        <f t="shared" si="1"/>
        <v>270496.4456</v>
      </c>
      <c r="G72" s="191">
        <f t="shared" si="7"/>
        <v>175180.874</v>
      </c>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row>
    <row r="73" ht="15.75" customHeight="1">
      <c r="A73" s="189">
        <f t="shared" si="2"/>
        <v>65</v>
      </c>
      <c r="B73" s="190">
        <f t="shared" si="3"/>
        <v>270496.4456</v>
      </c>
      <c r="C73" s="190">
        <f t="shared" si="4"/>
        <v>1671.57082</v>
      </c>
      <c r="D73" s="190">
        <f t="shared" si="5"/>
        <v>1239.775376</v>
      </c>
      <c r="E73" s="190">
        <f t="shared" si="6"/>
        <v>431.7954445</v>
      </c>
      <c r="F73" s="190">
        <f t="shared" si="1"/>
        <v>270064.6501</v>
      </c>
      <c r="G73" s="191">
        <f t="shared" si="7"/>
        <v>175612.9173</v>
      </c>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row>
    <row r="74" ht="15.75" customHeight="1">
      <c r="A74" s="189">
        <f t="shared" si="2"/>
        <v>66</v>
      </c>
      <c r="B74" s="190">
        <f t="shared" si="3"/>
        <v>270064.6501</v>
      </c>
      <c r="C74" s="190">
        <f t="shared" si="4"/>
        <v>1671.57082</v>
      </c>
      <c r="D74" s="190">
        <f t="shared" si="5"/>
        <v>1237.796313</v>
      </c>
      <c r="E74" s="190">
        <f t="shared" si="6"/>
        <v>433.7745069</v>
      </c>
      <c r="F74" s="190">
        <f t="shared" si="1"/>
        <v>269630.8756</v>
      </c>
      <c r="G74" s="191">
        <f t="shared" si="7"/>
        <v>176046.0261</v>
      </c>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row>
    <row r="75" ht="15.75" customHeight="1">
      <c r="A75" s="189">
        <f t="shared" si="2"/>
        <v>67</v>
      </c>
      <c r="B75" s="190">
        <f t="shared" si="3"/>
        <v>269630.8756</v>
      </c>
      <c r="C75" s="190">
        <f t="shared" si="4"/>
        <v>1671.57082</v>
      </c>
      <c r="D75" s="190">
        <f t="shared" si="5"/>
        <v>1235.80818</v>
      </c>
      <c r="E75" s="190">
        <f t="shared" si="6"/>
        <v>435.7626401</v>
      </c>
      <c r="F75" s="190">
        <f t="shared" si="1"/>
        <v>269195.113</v>
      </c>
      <c r="G75" s="191">
        <f t="shared" si="7"/>
        <v>176480.2031</v>
      </c>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row>
    <row r="76" ht="15.75" customHeight="1">
      <c r="A76" s="189">
        <f t="shared" si="2"/>
        <v>68</v>
      </c>
      <c r="B76" s="190">
        <f t="shared" si="3"/>
        <v>269195.113</v>
      </c>
      <c r="C76" s="190">
        <f t="shared" si="4"/>
        <v>1671.57082</v>
      </c>
      <c r="D76" s="190">
        <f t="shared" si="5"/>
        <v>1233.810934</v>
      </c>
      <c r="E76" s="190">
        <f t="shared" si="6"/>
        <v>437.7598855</v>
      </c>
      <c r="F76" s="190">
        <f t="shared" si="1"/>
        <v>268757.3531</v>
      </c>
      <c r="G76" s="191">
        <f t="shared" si="7"/>
        <v>176915.4509</v>
      </c>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row>
    <row r="77" ht="15.75" customHeight="1">
      <c r="A77" s="189">
        <f t="shared" si="2"/>
        <v>69</v>
      </c>
      <c r="B77" s="190">
        <f t="shared" si="3"/>
        <v>268757.3531</v>
      </c>
      <c r="C77" s="190">
        <f t="shared" si="4"/>
        <v>1671.57082</v>
      </c>
      <c r="D77" s="190">
        <f t="shared" si="5"/>
        <v>1231.804535</v>
      </c>
      <c r="E77" s="190">
        <f t="shared" si="6"/>
        <v>439.766285</v>
      </c>
      <c r="F77" s="190">
        <f t="shared" si="1"/>
        <v>268317.5868</v>
      </c>
      <c r="G77" s="191">
        <f t="shared" si="7"/>
        <v>177351.7721</v>
      </c>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row>
    <row r="78" ht="15.75" customHeight="1">
      <c r="A78" s="189">
        <f t="shared" si="2"/>
        <v>70</v>
      </c>
      <c r="B78" s="190">
        <f t="shared" si="3"/>
        <v>268317.5868</v>
      </c>
      <c r="C78" s="190">
        <f t="shared" si="4"/>
        <v>1671.57082</v>
      </c>
      <c r="D78" s="190">
        <f t="shared" si="5"/>
        <v>1229.78894</v>
      </c>
      <c r="E78" s="190">
        <f t="shared" si="6"/>
        <v>441.7818805</v>
      </c>
      <c r="F78" s="190">
        <f t="shared" si="1"/>
        <v>267875.8049</v>
      </c>
      <c r="G78" s="191">
        <f t="shared" si="7"/>
        <v>177789.1694</v>
      </c>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row>
    <row r="79" ht="15.75" customHeight="1">
      <c r="A79" s="189">
        <f t="shared" si="2"/>
        <v>71</v>
      </c>
      <c r="B79" s="190">
        <f t="shared" si="3"/>
        <v>267875.8049</v>
      </c>
      <c r="C79" s="190">
        <f t="shared" si="4"/>
        <v>1671.57082</v>
      </c>
      <c r="D79" s="190">
        <f t="shared" si="5"/>
        <v>1227.764106</v>
      </c>
      <c r="E79" s="190">
        <f t="shared" si="6"/>
        <v>443.8067141</v>
      </c>
      <c r="F79" s="190">
        <f t="shared" si="1"/>
        <v>267431.9982</v>
      </c>
      <c r="G79" s="191">
        <f t="shared" si="7"/>
        <v>178227.6455</v>
      </c>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row>
    <row r="80" ht="15.75" customHeight="1">
      <c r="A80" s="189">
        <f t="shared" si="2"/>
        <v>72</v>
      </c>
      <c r="B80" s="190">
        <f t="shared" si="3"/>
        <v>267431.9982</v>
      </c>
      <c r="C80" s="190">
        <f t="shared" si="4"/>
        <v>1671.57082</v>
      </c>
      <c r="D80" s="190">
        <f t="shared" si="5"/>
        <v>1225.729992</v>
      </c>
      <c r="E80" s="190">
        <f t="shared" si="6"/>
        <v>445.8408282</v>
      </c>
      <c r="F80" s="190">
        <f t="shared" si="1"/>
        <v>266986.1574</v>
      </c>
      <c r="G80" s="191">
        <f t="shared" si="7"/>
        <v>178667.203</v>
      </c>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89"/>
    </row>
    <row r="81" ht="15.75" customHeight="1">
      <c r="A81" s="189">
        <f t="shared" si="2"/>
        <v>73</v>
      </c>
      <c r="B81" s="190">
        <f t="shared" si="3"/>
        <v>266986.1574</v>
      </c>
      <c r="C81" s="190">
        <f t="shared" si="4"/>
        <v>1671.57082</v>
      </c>
      <c r="D81" s="190">
        <f t="shared" si="5"/>
        <v>1223.686555</v>
      </c>
      <c r="E81" s="190">
        <f t="shared" si="6"/>
        <v>447.8842653</v>
      </c>
      <c r="F81" s="190">
        <f t="shared" si="1"/>
        <v>266538.2731</v>
      </c>
      <c r="G81" s="191">
        <f t="shared" si="7"/>
        <v>179107.8445</v>
      </c>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89"/>
    </row>
    <row r="82" ht="15.75" customHeight="1">
      <c r="A82" s="189">
        <f t="shared" si="2"/>
        <v>74</v>
      </c>
      <c r="B82" s="190">
        <f t="shared" si="3"/>
        <v>266538.2731</v>
      </c>
      <c r="C82" s="190">
        <f t="shared" si="4"/>
        <v>1671.57082</v>
      </c>
      <c r="D82" s="190">
        <f t="shared" si="5"/>
        <v>1221.633752</v>
      </c>
      <c r="E82" s="190">
        <f t="shared" si="6"/>
        <v>449.9370682</v>
      </c>
      <c r="F82" s="190">
        <f t="shared" si="1"/>
        <v>266088.336</v>
      </c>
      <c r="G82" s="191">
        <f t="shared" si="7"/>
        <v>179549.5727</v>
      </c>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row>
    <row r="83" ht="15.75" customHeight="1">
      <c r="A83" s="189">
        <f t="shared" si="2"/>
        <v>75</v>
      </c>
      <c r="B83" s="190">
        <f t="shared" si="3"/>
        <v>266088.336</v>
      </c>
      <c r="C83" s="190">
        <f t="shared" si="4"/>
        <v>1671.57082</v>
      </c>
      <c r="D83" s="190">
        <f t="shared" si="5"/>
        <v>1219.57154</v>
      </c>
      <c r="E83" s="190">
        <f t="shared" si="6"/>
        <v>451.9992798</v>
      </c>
      <c r="F83" s="190">
        <f t="shared" si="1"/>
        <v>265636.3368</v>
      </c>
      <c r="G83" s="191">
        <f t="shared" si="7"/>
        <v>179992.3904</v>
      </c>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row>
    <row r="84" ht="15.75" customHeight="1">
      <c r="A84" s="189">
        <f t="shared" si="2"/>
        <v>76</v>
      </c>
      <c r="B84" s="190">
        <f t="shared" si="3"/>
        <v>265636.3368</v>
      </c>
      <c r="C84" s="190">
        <f t="shared" si="4"/>
        <v>1671.57082</v>
      </c>
      <c r="D84" s="190">
        <f t="shared" si="5"/>
        <v>1217.499877</v>
      </c>
      <c r="E84" s="190">
        <f t="shared" si="6"/>
        <v>454.0709431</v>
      </c>
      <c r="F84" s="190">
        <f t="shared" si="1"/>
        <v>265182.2658</v>
      </c>
      <c r="G84" s="191">
        <f t="shared" si="7"/>
        <v>180436.3002</v>
      </c>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row>
    <row r="85" ht="15.75" customHeight="1">
      <c r="A85" s="189">
        <f t="shared" si="2"/>
        <v>77</v>
      </c>
      <c r="B85" s="190">
        <f t="shared" si="3"/>
        <v>265182.2658</v>
      </c>
      <c r="C85" s="190">
        <f t="shared" si="4"/>
        <v>1671.57082</v>
      </c>
      <c r="D85" s="190">
        <f t="shared" si="5"/>
        <v>1215.418718</v>
      </c>
      <c r="E85" s="190">
        <f t="shared" si="6"/>
        <v>456.1521016</v>
      </c>
      <c r="F85" s="190">
        <f t="shared" si="1"/>
        <v>264726.1137</v>
      </c>
      <c r="G85" s="191">
        <f t="shared" si="7"/>
        <v>180881.3048</v>
      </c>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row>
    <row r="86" ht="15.75" customHeight="1">
      <c r="A86" s="189">
        <f t="shared" si="2"/>
        <v>78</v>
      </c>
      <c r="B86" s="190">
        <f t="shared" si="3"/>
        <v>264726.1137</v>
      </c>
      <c r="C86" s="190">
        <f t="shared" si="4"/>
        <v>1671.57082</v>
      </c>
      <c r="D86" s="190">
        <f t="shared" si="5"/>
        <v>1213.328021</v>
      </c>
      <c r="E86" s="190">
        <f t="shared" si="6"/>
        <v>458.2427987</v>
      </c>
      <c r="F86" s="190">
        <f t="shared" si="1"/>
        <v>264267.8709</v>
      </c>
      <c r="G86" s="191">
        <f t="shared" si="7"/>
        <v>181327.4069</v>
      </c>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row>
    <row r="87" ht="15.75" customHeight="1">
      <c r="A87" s="189">
        <f t="shared" si="2"/>
        <v>79</v>
      </c>
      <c r="B87" s="190">
        <f t="shared" si="3"/>
        <v>264267.8709</v>
      </c>
      <c r="C87" s="190">
        <f t="shared" si="4"/>
        <v>1671.57082</v>
      </c>
      <c r="D87" s="190">
        <f t="shared" si="5"/>
        <v>1211.227742</v>
      </c>
      <c r="E87" s="190">
        <f t="shared" si="6"/>
        <v>460.3430782</v>
      </c>
      <c r="F87" s="190">
        <f t="shared" si="1"/>
        <v>263807.5278</v>
      </c>
      <c r="G87" s="191">
        <f t="shared" si="7"/>
        <v>181774.6092</v>
      </c>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row>
    <row r="88" ht="15.75" customHeight="1">
      <c r="A88" s="189">
        <f t="shared" si="2"/>
        <v>80</v>
      </c>
      <c r="B88" s="190">
        <f t="shared" si="3"/>
        <v>263807.5278</v>
      </c>
      <c r="C88" s="190">
        <f t="shared" si="4"/>
        <v>1671.57082</v>
      </c>
      <c r="D88" s="190">
        <f t="shared" si="5"/>
        <v>1209.117836</v>
      </c>
      <c r="E88" s="190">
        <f t="shared" si="6"/>
        <v>462.452984</v>
      </c>
      <c r="F88" s="190">
        <f t="shared" si="1"/>
        <v>263345.0749</v>
      </c>
      <c r="G88" s="191">
        <f t="shared" si="7"/>
        <v>182222.9144</v>
      </c>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row>
    <row r="89" ht="15.75" customHeight="1">
      <c r="A89" s="189">
        <f t="shared" si="2"/>
        <v>81</v>
      </c>
      <c r="B89" s="190">
        <f t="shared" si="3"/>
        <v>263345.0749</v>
      </c>
      <c r="C89" s="190">
        <f t="shared" si="4"/>
        <v>1671.57082</v>
      </c>
      <c r="D89" s="190">
        <f t="shared" si="5"/>
        <v>1206.99826</v>
      </c>
      <c r="E89" s="190">
        <f t="shared" si="6"/>
        <v>464.5725602</v>
      </c>
      <c r="F89" s="190">
        <f t="shared" si="1"/>
        <v>262880.5023</v>
      </c>
      <c r="G89" s="191">
        <f t="shared" si="7"/>
        <v>182672.3253</v>
      </c>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189"/>
      <c r="AM89" s="189"/>
    </row>
    <row r="90" ht="15.75" customHeight="1">
      <c r="A90" s="189">
        <f t="shared" si="2"/>
        <v>82</v>
      </c>
      <c r="B90" s="190">
        <f t="shared" si="3"/>
        <v>262880.5023</v>
      </c>
      <c r="C90" s="190">
        <f t="shared" si="4"/>
        <v>1671.57082</v>
      </c>
      <c r="D90" s="190">
        <f t="shared" si="5"/>
        <v>1204.868969</v>
      </c>
      <c r="E90" s="190">
        <f t="shared" si="6"/>
        <v>466.7018511</v>
      </c>
      <c r="F90" s="190">
        <f t="shared" si="1"/>
        <v>262413.8004</v>
      </c>
      <c r="G90" s="191">
        <f t="shared" si="7"/>
        <v>183122.8445</v>
      </c>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89"/>
      <c r="AL90" s="189"/>
      <c r="AM90" s="189"/>
    </row>
    <row r="91" ht="15.75" customHeight="1">
      <c r="A91" s="189">
        <f t="shared" si="2"/>
        <v>83</v>
      </c>
      <c r="B91" s="190">
        <f t="shared" si="3"/>
        <v>262413.8004</v>
      </c>
      <c r="C91" s="190">
        <f t="shared" si="4"/>
        <v>1671.57082</v>
      </c>
      <c r="D91" s="190">
        <f t="shared" si="5"/>
        <v>1202.729919</v>
      </c>
      <c r="E91" s="190">
        <f t="shared" si="6"/>
        <v>468.8409012</v>
      </c>
      <c r="F91" s="190">
        <f t="shared" si="1"/>
        <v>261944.9595</v>
      </c>
      <c r="G91" s="191">
        <f t="shared" si="7"/>
        <v>183574.4749</v>
      </c>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row>
    <row r="92" ht="15.75" customHeight="1">
      <c r="A92" s="189">
        <f t="shared" si="2"/>
        <v>84</v>
      </c>
      <c r="B92" s="190">
        <f t="shared" si="3"/>
        <v>261944.9595</v>
      </c>
      <c r="C92" s="190">
        <f t="shared" si="4"/>
        <v>1671.57082</v>
      </c>
      <c r="D92" s="190">
        <f t="shared" si="5"/>
        <v>1200.581065</v>
      </c>
      <c r="E92" s="190">
        <f t="shared" si="6"/>
        <v>470.9897554</v>
      </c>
      <c r="F92" s="190">
        <f t="shared" si="1"/>
        <v>261473.9698</v>
      </c>
      <c r="G92" s="191">
        <f t="shared" si="7"/>
        <v>184027.219</v>
      </c>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row>
    <row r="93" ht="15.75" customHeight="1">
      <c r="A93" s="189">
        <f t="shared" si="2"/>
        <v>85</v>
      </c>
      <c r="B93" s="190">
        <f t="shared" si="3"/>
        <v>261473.9698</v>
      </c>
      <c r="C93" s="190">
        <f t="shared" si="4"/>
        <v>1671.57082</v>
      </c>
      <c r="D93" s="190">
        <f t="shared" si="5"/>
        <v>1198.422362</v>
      </c>
      <c r="E93" s="190">
        <f t="shared" si="6"/>
        <v>473.1484584</v>
      </c>
      <c r="F93" s="190">
        <f t="shared" si="1"/>
        <v>261000.8213</v>
      </c>
      <c r="G93" s="191">
        <f t="shared" si="7"/>
        <v>184481.0798</v>
      </c>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89"/>
    </row>
    <row r="94" ht="15.75" customHeight="1">
      <c r="A94" s="189">
        <f t="shared" si="2"/>
        <v>86</v>
      </c>
      <c r="B94" s="190">
        <f t="shared" si="3"/>
        <v>261000.8213</v>
      </c>
      <c r="C94" s="190">
        <f t="shared" si="4"/>
        <v>1671.57082</v>
      </c>
      <c r="D94" s="190">
        <f t="shared" si="5"/>
        <v>1196.253764</v>
      </c>
      <c r="E94" s="190">
        <f t="shared" si="6"/>
        <v>475.3170555</v>
      </c>
      <c r="F94" s="190">
        <f t="shared" si="1"/>
        <v>260525.5043</v>
      </c>
      <c r="G94" s="191">
        <f t="shared" si="7"/>
        <v>184936.0599</v>
      </c>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row>
    <row r="95" ht="15.75" customHeight="1">
      <c r="A95" s="189">
        <f t="shared" si="2"/>
        <v>87</v>
      </c>
      <c r="B95" s="190">
        <f t="shared" si="3"/>
        <v>260525.5043</v>
      </c>
      <c r="C95" s="190">
        <f t="shared" si="4"/>
        <v>1671.57082</v>
      </c>
      <c r="D95" s="190">
        <f t="shared" si="5"/>
        <v>1194.075228</v>
      </c>
      <c r="E95" s="190">
        <f t="shared" si="6"/>
        <v>477.495592</v>
      </c>
      <c r="F95" s="190">
        <f t="shared" si="1"/>
        <v>260048.0087</v>
      </c>
      <c r="G95" s="191">
        <f t="shared" si="7"/>
        <v>185392.1621</v>
      </c>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row>
    <row r="96" ht="15.75" customHeight="1">
      <c r="A96" s="189">
        <f t="shared" si="2"/>
        <v>88</v>
      </c>
      <c r="B96" s="190">
        <f t="shared" si="3"/>
        <v>260048.0087</v>
      </c>
      <c r="C96" s="190">
        <f t="shared" si="4"/>
        <v>1671.57082</v>
      </c>
      <c r="D96" s="190">
        <f t="shared" si="5"/>
        <v>1191.886706</v>
      </c>
      <c r="E96" s="190">
        <f t="shared" si="6"/>
        <v>479.6841135</v>
      </c>
      <c r="F96" s="190">
        <f t="shared" si="1"/>
        <v>259568.3246</v>
      </c>
      <c r="G96" s="191">
        <f t="shared" si="7"/>
        <v>185849.3892</v>
      </c>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row>
    <row r="97" ht="15.75" customHeight="1">
      <c r="A97" s="189">
        <f t="shared" si="2"/>
        <v>89</v>
      </c>
      <c r="B97" s="190">
        <f t="shared" si="3"/>
        <v>259568.3246</v>
      </c>
      <c r="C97" s="190">
        <f t="shared" si="4"/>
        <v>1671.57082</v>
      </c>
      <c r="D97" s="190">
        <f t="shared" si="5"/>
        <v>1189.688154</v>
      </c>
      <c r="E97" s="190">
        <f t="shared" si="6"/>
        <v>481.8826657</v>
      </c>
      <c r="F97" s="190">
        <f t="shared" si="1"/>
        <v>259086.4419</v>
      </c>
      <c r="G97" s="191">
        <f t="shared" si="7"/>
        <v>186307.744</v>
      </c>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row>
    <row r="98" ht="15.75" customHeight="1">
      <c r="A98" s="189">
        <f t="shared" si="2"/>
        <v>90</v>
      </c>
      <c r="B98" s="190">
        <f t="shared" si="3"/>
        <v>259086.4419</v>
      </c>
      <c r="C98" s="190">
        <f t="shared" si="4"/>
        <v>1671.57082</v>
      </c>
      <c r="D98" s="190">
        <f t="shared" si="5"/>
        <v>1187.479525</v>
      </c>
      <c r="E98" s="190">
        <f t="shared" si="6"/>
        <v>484.0912946</v>
      </c>
      <c r="F98" s="190">
        <f t="shared" si="1"/>
        <v>258602.3506</v>
      </c>
      <c r="G98" s="191">
        <f t="shared" si="7"/>
        <v>186767.2291</v>
      </c>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row>
    <row r="99" ht="15.75" customHeight="1">
      <c r="A99" s="189">
        <f t="shared" si="2"/>
        <v>91</v>
      </c>
      <c r="B99" s="190">
        <f t="shared" si="3"/>
        <v>258602.3506</v>
      </c>
      <c r="C99" s="190">
        <f t="shared" si="4"/>
        <v>1671.57082</v>
      </c>
      <c r="D99" s="190">
        <f t="shared" si="5"/>
        <v>1185.260774</v>
      </c>
      <c r="E99" s="190">
        <f t="shared" si="6"/>
        <v>486.3100463</v>
      </c>
      <c r="F99" s="190">
        <f t="shared" si="1"/>
        <v>258116.0406</v>
      </c>
      <c r="G99" s="191">
        <f t="shared" si="7"/>
        <v>187227.8475</v>
      </c>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row>
    <row r="100" ht="15.75" customHeight="1">
      <c r="A100" s="189">
        <f t="shared" si="2"/>
        <v>92</v>
      </c>
      <c r="B100" s="190">
        <f t="shared" si="3"/>
        <v>258116.0406</v>
      </c>
      <c r="C100" s="190">
        <f t="shared" si="4"/>
        <v>1671.57082</v>
      </c>
      <c r="D100" s="190">
        <f t="shared" si="5"/>
        <v>1183.031853</v>
      </c>
      <c r="E100" s="190">
        <f t="shared" si="6"/>
        <v>488.5389674</v>
      </c>
      <c r="F100" s="190">
        <f t="shared" si="1"/>
        <v>257627.5016</v>
      </c>
      <c r="G100" s="191">
        <f t="shared" si="7"/>
        <v>187689.6019</v>
      </c>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row>
    <row r="101" ht="15.75" customHeight="1">
      <c r="A101" s="189">
        <f t="shared" si="2"/>
        <v>93</v>
      </c>
      <c r="B101" s="190">
        <f t="shared" si="3"/>
        <v>257627.5016</v>
      </c>
      <c r="C101" s="190">
        <f t="shared" si="4"/>
        <v>1671.57082</v>
      </c>
      <c r="D101" s="190">
        <f t="shared" si="5"/>
        <v>1180.792716</v>
      </c>
      <c r="E101" s="190">
        <f t="shared" si="6"/>
        <v>490.7781043</v>
      </c>
      <c r="F101" s="190">
        <f t="shared" si="1"/>
        <v>257136.7235</v>
      </c>
      <c r="G101" s="191">
        <f t="shared" si="7"/>
        <v>188152.4951</v>
      </c>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row>
    <row r="102" ht="15.75" customHeight="1">
      <c r="A102" s="189">
        <f t="shared" si="2"/>
        <v>94</v>
      </c>
      <c r="B102" s="190">
        <f t="shared" si="3"/>
        <v>257136.7235</v>
      </c>
      <c r="C102" s="190">
        <f t="shared" si="4"/>
        <v>1671.57082</v>
      </c>
      <c r="D102" s="190">
        <f t="shared" si="5"/>
        <v>1178.543316</v>
      </c>
      <c r="E102" s="190">
        <f t="shared" si="6"/>
        <v>493.0275039</v>
      </c>
      <c r="F102" s="190">
        <f t="shared" si="1"/>
        <v>256643.696</v>
      </c>
      <c r="G102" s="191">
        <f t="shared" si="7"/>
        <v>188616.5299</v>
      </c>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row>
    <row r="103" ht="15.75" customHeight="1">
      <c r="A103" s="189">
        <f t="shared" si="2"/>
        <v>95</v>
      </c>
      <c r="B103" s="190">
        <f t="shared" si="3"/>
        <v>256643.696</v>
      </c>
      <c r="C103" s="190">
        <f t="shared" si="4"/>
        <v>1671.57082</v>
      </c>
      <c r="D103" s="190">
        <f t="shared" si="5"/>
        <v>1176.283607</v>
      </c>
      <c r="E103" s="190">
        <f t="shared" si="6"/>
        <v>495.2872133</v>
      </c>
      <c r="F103" s="190">
        <f t="shared" si="1"/>
        <v>256148.4088</v>
      </c>
      <c r="G103" s="191">
        <f t="shared" si="7"/>
        <v>189081.7091</v>
      </c>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row>
    <row r="104" ht="15.75" customHeight="1">
      <c r="A104" s="189">
        <f t="shared" si="2"/>
        <v>96</v>
      </c>
      <c r="B104" s="190">
        <f t="shared" si="3"/>
        <v>256148.4088</v>
      </c>
      <c r="C104" s="190">
        <f t="shared" si="4"/>
        <v>1671.57082</v>
      </c>
      <c r="D104" s="190">
        <f t="shared" si="5"/>
        <v>1174.01354</v>
      </c>
      <c r="E104" s="190">
        <f t="shared" si="6"/>
        <v>497.5572797</v>
      </c>
      <c r="F104" s="190">
        <f t="shared" si="1"/>
        <v>255650.8515</v>
      </c>
      <c r="G104" s="191">
        <f t="shared" si="7"/>
        <v>189548.0356</v>
      </c>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row>
    <row r="105" ht="15.75" customHeight="1">
      <c r="A105" s="189">
        <f t="shared" si="2"/>
        <v>97</v>
      </c>
      <c r="B105" s="190">
        <f t="shared" si="3"/>
        <v>255650.8515</v>
      </c>
      <c r="C105" s="190">
        <f t="shared" si="4"/>
        <v>1671.57082</v>
      </c>
      <c r="D105" s="190">
        <f t="shared" si="5"/>
        <v>1171.733069</v>
      </c>
      <c r="E105" s="190">
        <f t="shared" si="6"/>
        <v>499.8377506</v>
      </c>
      <c r="F105" s="190">
        <f t="shared" si="1"/>
        <v>255151.0137</v>
      </c>
      <c r="G105" s="191">
        <f t="shared" si="7"/>
        <v>190015.5122</v>
      </c>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c r="AK105" s="189"/>
      <c r="AL105" s="189"/>
      <c r="AM105" s="189"/>
    </row>
    <row r="106" ht="15.75" customHeight="1">
      <c r="A106" s="189">
        <f t="shared" si="2"/>
        <v>98</v>
      </c>
      <c r="B106" s="190">
        <f t="shared" si="3"/>
        <v>255151.0137</v>
      </c>
      <c r="C106" s="190">
        <f t="shared" si="4"/>
        <v>1671.57082</v>
      </c>
      <c r="D106" s="190">
        <f t="shared" si="5"/>
        <v>1169.442146</v>
      </c>
      <c r="E106" s="190">
        <f t="shared" si="6"/>
        <v>502.1286736</v>
      </c>
      <c r="F106" s="190">
        <f t="shared" si="1"/>
        <v>254648.8851</v>
      </c>
      <c r="G106" s="191">
        <f t="shared" si="7"/>
        <v>190484.1417</v>
      </c>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row>
    <row r="107" ht="15.75" customHeight="1">
      <c r="A107" s="189">
        <f t="shared" si="2"/>
        <v>99</v>
      </c>
      <c r="B107" s="190">
        <f t="shared" si="3"/>
        <v>254648.8851</v>
      </c>
      <c r="C107" s="190">
        <f t="shared" si="4"/>
        <v>1671.57082</v>
      </c>
      <c r="D107" s="190">
        <f t="shared" si="5"/>
        <v>1167.140723</v>
      </c>
      <c r="E107" s="190">
        <f t="shared" si="6"/>
        <v>504.4300967</v>
      </c>
      <c r="F107" s="190">
        <f t="shared" si="1"/>
        <v>254144.455</v>
      </c>
      <c r="G107" s="191">
        <f t="shared" si="7"/>
        <v>190953.927</v>
      </c>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89"/>
      <c r="AM107" s="189"/>
    </row>
    <row r="108" ht="15.75" customHeight="1">
      <c r="A108" s="189">
        <f t="shared" si="2"/>
        <v>100</v>
      </c>
      <c r="B108" s="190">
        <f t="shared" si="3"/>
        <v>254144.455</v>
      </c>
      <c r="C108" s="190">
        <f t="shared" si="4"/>
        <v>1671.57082</v>
      </c>
      <c r="D108" s="190">
        <f t="shared" si="5"/>
        <v>1164.828752</v>
      </c>
      <c r="E108" s="190">
        <f t="shared" si="6"/>
        <v>506.742068</v>
      </c>
      <c r="F108" s="190">
        <f t="shared" si="1"/>
        <v>253637.7129</v>
      </c>
      <c r="G108" s="191">
        <f t="shared" si="7"/>
        <v>191424.8709</v>
      </c>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c r="AK108" s="189"/>
      <c r="AL108" s="189"/>
      <c r="AM108" s="189"/>
    </row>
    <row r="109" ht="15.75" customHeight="1">
      <c r="A109" s="189">
        <f t="shared" si="2"/>
        <v>101</v>
      </c>
      <c r="B109" s="190">
        <f t="shared" si="3"/>
        <v>253637.7129</v>
      </c>
      <c r="C109" s="190">
        <f t="shared" si="4"/>
        <v>1671.57082</v>
      </c>
      <c r="D109" s="190">
        <f t="shared" si="5"/>
        <v>1162.506184</v>
      </c>
      <c r="E109" s="190">
        <f t="shared" si="6"/>
        <v>509.0646358</v>
      </c>
      <c r="F109" s="190">
        <f t="shared" si="1"/>
        <v>253128.6483</v>
      </c>
      <c r="G109" s="191">
        <f t="shared" si="7"/>
        <v>191896.9763</v>
      </c>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row>
    <row r="110" ht="15.75" customHeight="1">
      <c r="A110" s="189">
        <f t="shared" si="2"/>
        <v>102</v>
      </c>
      <c r="B110" s="190">
        <f t="shared" si="3"/>
        <v>253128.6483</v>
      </c>
      <c r="C110" s="190">
        <f t="shared" si="4"/>
        <v>1671.57082</v>
      </c>
      <c r="D110" s="190">
        <f t="shared" si="5"/>
        <v>1160.172971</v>
      </c>
      <c r="E110" s="190">
        <f t="shared" si="6"/>
        <v>511.3978487</v>
      </c>
      <c r="F110" s="190">
        <f t="shared" si="1"/>
        <v>252617.2504</v>
      </c>
      <c r="G110" s="191">
        <f t="shared" si="7"/>
        <v>192370.246</v>
      </c>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row>
    <row r="111" ht="15.75" customHeight="1">
      <c r="A111" s="189">
        <f t="shared" si="2"/>
        <v>103</v>
      </c>
      <c r="B111" s="190">
        <f t="shared" si="3"/>
        <v>252617.2504</v>
      </c>
      <c r="C111" s="190">
        <f t="shared" si="4"/>
        <v>1671.57082</v>
      </c>
      <c r="D111" s="190">
        <f t="shared" si="5"/>
        <v>1157.829064</v>
      </c>
      <c r="E111" s="190">
        <f t="shared" si="6"/>
        <v>513.7417555</v>
      </c>
      <c r="F111" s="190">
        <f t="shared" si="1"/>
        <v>252103.5087</v>
      </c>
      <c r="G111" s="191">
        <f t="shared" si="7"/>
        <v>192844.6829</v>
      </c>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row>
    <row r="112" ht="15.75" customHeight="1">
      <c r="A112" s="189">
        <f t="shared" si="2"/>
        <v>104</v>
      </c>
      <c r="B112" s="190">
        <f t="shared" si="3"/>
        <v>252103.5087</v>
      </c>
      <c r="C112" s="190">
        <f t="shared" si="4"/>
        <v>1671.57082</v>
      </c>
      <c r="D112" s="190">
        <f t="shared" si="5"/>
        <v>1155.474415</v>
      </c>
      <c r="E112" s="190">
        <f t="shared" si="6"/>
        <v>516.0964052</v>
      </c>
      <c r="F112" s="190">
        <f t="shared" si="1"/>
        <v>251587.4123</v>
      </c>
      <c r="G112" s="191">
        <f t="shared" si="7"/>
        <v>193320.2899</v>
      </c>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row>
    <row r="113" ht="15.75" customHeight="1">
      <c r="A113" s="189">
        <f t="shared" si="2"/>
        <v>105</v>
      </c>
      <c r="B113" s="190">
        <f t="shared" si="3"/>
        <v>251587.4123</v>
      </c>
      <c r="C113" s="190">
        <f t="shared" si="4"/>
        <v>1671.57082</v>
      </c>
      <c r="D113" s="190">
        <f t="shared" si="5"/>
        <v>1153.108973</v>
      </c>
      <c r="E113" s="190">
        <f t="shared" si="6"/>
        <v>518.4618471</v>
      </c>
      <c r="F113" s="190">
        <f t="shared" si="1"/>
        <v>251068.9504</v>
      </c>
      <c r="G113" s="191">
        <f t="shared" si="7"/>
        <v>193797.0699</v>
      </c>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row>
    <row r="114" ht="15.75" customHeight="1">
      <c r="A114" s="189">
        <f t="shared" si="2"/>
        <v>106</v>
      </c>
      <c r="B114" s="190">
        <f t="shared" si="3"/>
        <v>251068.9504</v>
      </c>
      <c r="C114" s="190">
        <f t="shared" si="4"/>
        <v>1671.57082</v>
      </c>
      <c r="D114" s="190">
        <f t="shared" si="5"/>
        <v>1150.732689</v>
      </c>
      <c r="E114" s="190">
        <f t="shared" si="6"/>
        <v>520.8381306</v>
      </c>
      <c r="F114" s="190">
        <f t="shared" si="1"/>
        <v>250548.1123</v>
      </c>
      <c r="G114" s="191">
        <f t="shared" si="7"/>
        <v>194275.0258</v>
      </c>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row>
    <row r="115" ht="15.75" customHeight="1">
      <c r="A115" s="189">
        <f t="shared" si="2"/>
        <v>107</v>
      </c>
      <c r="B115" s="190">
        <f t="shared" si="3"/>
        <v>250548.1123</v>
      </c>
      <c r="C115" s="190">
        <f t="shared" si="4"/>
        <v>1671.57082</v>
      </c>
      <c r="D115" s="190">
        <f t="shared" si="5"/>
        <v>1148.345515</v>
      </c>
      <c r="E115" s="190">
        <f t="shared" si="6"/>
        <v>523.2253053</v>
      </c>
      <c r="F115" s="190">
        <f t="shared" si="1"/>
        <v>250024.887</v>
      </c>
      <c r="G115" s="191">
        <f t="shared" si="7"/>
        <v>194754.1604</v>
      </c>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c r="AJ115" s="189"/>
      <c r="AK115" s="189"/>
      <c r="AL115" s="189"/>
      <c r="AM115" s="189"/>
    </row>
    <row r="116" ht="15.75" customHeight="1">
      <c r="A116" s="189">
        <f t="shared" si="2"/>
        <v>108</v>
      </c>
      <c r="B116" s="190">
        <f t="shared" si="3"/>
        <v>250024.887</v>
      </c>
      <c r="C116" s="190">
        <f t="shared" si="4"/>
        <v>1671.57082</v>
      </c>
      <c r="D116" s="190">
        <f t="shared" si="5"/>
        <v>1145.947399</v>
      </c>
      <c r="E116" s="190">
        <f t="shared" si="6"/>
        <v>525.6234213</v>
      </c>
      <c r="F116" s="190">
        <f t="shared" si="1"/>
        <v>249499.2636</v>
      </c>
      <c r="G116" s="191">
        <f t="shared" si="7"/>
        <v>195234.4767</v>
      </c>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row>
    <row r="117" ht="15.75" customHeight="1">
      <c r="A117" s="189">
        <f t="shared" si="2"/>
        <v>109</v>
      </c>
      <c r="B117" s="190">
        <f t="shared" si="3"/>
        <v>249499.2636</v>
      </c>
      <c r="C117" s="190">
        <f t="shared" si="4"/>
        <v>1671.57082</v>
      </c>
      <c r="D117" s="190">
        <f t="shared" si="5"/>
        <v>1143.538291</v>
      </c>
      <c r="E117" s="190">
        <f t="shared" si="6"/>
        <v>528.0325286</v>
      </c>
      <c r="F117" s="190">
        <f t="shared" si="1"/>
        <v>248971.231</v>
      </c>
      <c r="G117" s="191">
        <f t="shared" si="7"/>
        <v>195715.9776</v>
      </c>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row>
    <row r="118" ht="15.75" customHeight="1">
      <c r="A118" s="189">
        <f t="shared" si="2"/>
        <v>110</v>
      </c>
      <c r="B118" s="190">
        <f t="shared" si="3"/>
        <v>248971.231</v>
      </c>
      <c r="C118" s="190">
        <f t="shared" si="4"/>
        <v>1671.57082</v>
      </c>
      <c r="D118" s="190">
        <f t="shared" si="5"/>
        <v>1141.118142</v>
      </c>
      <c r="E118" s="190">
        <f t="shared" si="6"/>
        <v>530.4526777</v>
      </c>
      <c r="F118" s="190">
        <f t="shared" si="1"/>
        <v>248440.7784</v>
      </c>
      <c r="G118" s="191">
        <f t="shared" si="7"/>
        <v>196198.666</v>
      </c>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c r="AH118" s="189"/>
      <c r="AI118" s="189"/>
      <c r="AJ118" s="189"/>
      <c r="AK118" s="189"/>
      <c r="AL118" s="189"/>
      <c r="AM118" s="189"/>
    </row>
    <row r="119" ht="15.75" customHeight="1">
      <c r="A119" s="189">
        <f t="shared" si="2"/>
        <v>111</v>
      </c>
      <c r="B119" s="190">
        <f t="shared" si="3"/>
        <v>248440.7784</v>
      </c>
      <c r="C119" s="190">
        <f t="shared" si="4"/>
        <v>1671.57082</v>
      </c>
      <c r="D119" s="190">
        <f t="shared" si="5"/>
        <v>1138.686901</v>
      </c>
      <c r="E119" s="190">
        <f t="shared" si="6"/>
        <v>532.8839192</v>
      </c>
      <c r="F119" s="190">
        <f t="shared" si="1"/>
        <v>247907.8944</v>
      </c>
      <c r="G119" s="191">
        <f t="shared" si="7"/>
        <v>196682.5448</v>
      </c>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c r="AH119" s="189"/>
      <c r="AI119" s="189"/>
      <c r="AJ119" s="189"/>
      <c r="AK119" s="189"/>
      <c r="AL119" s="189"/>
      <c r="AM119" s="189"/>
    </row>
    <row r="120" ht="15.75" customHeight="1">
      <c r="A120" s="189">
        <f t="shared" si="2"/>
        <v>112</v>
      </c>
      <c r="B120" s="190">
        <f t="shared" si="3"/>
        <v>247907.8944</v>
      </c>
      <c r="C120" s="190">
        <f t="shared" si="4"/>
        <v>1671.57082</v>
      </c>
      <c r="D120" s="190">
        <f t="shared" si="5"/>
        <v>1136.244516</v>
      </c>
      <c r="E120" s="190">
        <f t="shared" si="6"/>
        <v>535.3263038</v>
      </c>
      <c r="F120" s="190">
        <f t="shared" si="1"/>
        <v>247372.5681</v>
      </c>
      <c r="G120" s="191">
        <f t="shared" si="7"/>
        <v>197167.617</v>
      </c>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89"/>
      <c r="AL120" s="189"/>
      <c r="AM120" s="189"/>
    </row>
    <row r="121" ht="15.75" customHeight="1">
      <c r="A121" s="189">
        <f t="shared" si="2"/>
        <v>113</v>
      </c>
      <c r="B121" s="190">
        <f t="shared" si="3"/>
        <v>247372.5681</v>
      </c>
      <c r="C121" s="190">
        <f t="shared" si="4"/>
        <v>1671.57082</v>
      </c>
      <c r="D121" s="190">
        <f t="shared" si="5"/>
        <v>1133.790937</v>
      </c>
      <c r="E121" s="190">
        <f t="shared" si="6"/>
        <v>537.7798827</v>
      </c>
      <c r="F121" s="190">
        <f t="shared" si="1"/>
        <v>246834.7882</v>
      </c>
      <c r="G121" s="191">
        <f t="shared" si="7"/>
        <v>197653.8856</v>
      </c>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row>
    <row r="122" ht="15.75" customHeight="1">
      <c r="A122" s="189">
        <f t="shared" si="2"/>
        <v>114</v>
      </c>
      <c r="B122" s="190">
        <f t="shared" si="3"/>
        <v>246834.7882</v>
      </c>
      <c r="C122" s="190">
        <f t="shared" si="4"/>
        <v>1671.57082</v>
      </c>
      <c r="D122" s="190">
        <f t="shared" si="5"/>
        <v>1131.326113</v>
      </c>
      <c r="E122" s="190">
        <f t="shared" si="6"/>
        <v>540.2447072</v>
      </c>
      <c r="F122" s="190">
        <f t="shared" si="1"/>
        <v>246294.5435</v>
      </c>
      <c r="G122" s="191">
        <f t="shared" si="7"/>
        <v>198141.3534</v>
      </c>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c r="AJ122" s="189"/>
      <c r="AK122" s="189"/>
      <c r="AL122" s="189"/>
      <c r="AM122" s="189"/>
    </row>
    <row r="123" ht="15.75" customHeight="1">
      <c r="A123" s="189">
        <f t="shared" si="2"/>
        <v>115</v>
      </c>
      <c r="B123" s="190">
        <f t="shared" si="3"/>
        <v>246294.5435</v>
      </c>
      <c r="C123" s="190">
        <f t="shared" si="4"/>
        <v>1671.57082</v>
      </c>
      <c r="D123" s="190">
        <f t="shared" si="5"/>
        <v>1128.849991</v>
      </c>
      <c r="E123" s="190">
        <f t="shared" si="6"/>
        <v>542.7208287</v>
      </c>
      <c r="F123" s="190">
        <f t="shared" si="1"/>
        <v>245751.8227</v>
      </c>
      <c r="G123" s="191">
        <f t="shared" si="7"/>
        <v>198630.0234</v>
      </c>
      <c r="H123" s="189"/>
      <c r="I123" s="189"/>
      <c r="J123" s="189"/>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c r="AK123" s="189"/>
      <c r="AL123" s="189"/>
      <c r="AM123" s="189"/>
    </row>
    <row r="124" ht="15.75" customHeight="1">
      <c r="A124" s="189">
        <f t="shared" si="2"/>
        <v>116</v>
      </c>
      <c r="B124" s="190">
        <f t="shared" si="3"/>
        <v>245751.8227</v>
      </c>
      <c r="C124" s="190">
        <f t="shared" si="4"/>
        <v>1671.57082</v>
      </c>
      <c r="D124" s="190">
        <f t="shared" si="5"/>
        <v>1126.362521</v>
      </c>
      <c r="E124" s="190">
        <f t="shared" si="6"/>
        <v>545.2082992</v>
      </c>
      <c r="F124" s="190">
        <f t="shared" si="1"/>
        <v>245206.6144</v>
      </c>
      <c r="G124" s="191">
        <f t="shared" si="7"/>
        <v>199119.8986</v>
      </c>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row>
    <row r="125" ht="15.75" customHeight="1">
      <c r="A125" s="189">
        <f t="shared" si="2"/>
        <v>117</v>
      </c>
      <c r="B125" s="190">
        <f t="shared" si="3"/>
        <v>245206.6144</v>
      </c>
      <c r="C125" s="190">
        <f t="shared" si="4"/>
        <v>1671.57082</v>
      </c>
      <c r="D125" s="190">
        <f t="shared" si="5"/>
        <v>1123.863649</v>
      </c>
      <c r="E125" s="190">
        <f t="shared" si="6"/>
        <v>547.7071706</v>
      </c>
      <c r="F125" s="190">
        <f t="shared" si="1"/>
        <v>244658.9072</v>
      </c>
      <c r="G125" s="191">
        <f t="shared" si="7"/>
        <v>199610.982</v>
      </c>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189"/>
    </row>
    <row r="126" ht="15.75" customHeight="1">
      <c r="A126" s="189">
        <f t="shared" si="2"/>
        <v>118</v>
      </c>
      <c r="B126" s="190">
        <f t="shared" si="3"/>
        <v>244658.9072</v>
      </c>
      <c r="C126" s="190">
        <f t="shared" si="4"/>
        <v>1671.57082</v>
      </c>
      <c r="D126" s="190">
        <f t="shared" si="5"/>
        <v>1121.353325</v>
      </c>
      <c r="E126" s="190">
        <f t="shared" si="6"/>
        <v>550.2174951</v>
      </c>
      <c r="F126" s="190">
        <f t="shared" si="1"/>
        <v>244108.6897</v>
      </c>
      <c r="G126" s="191">
        <f t="shared" si="7"/>
        <v>200103.2765</v>
      </c>
      <c r="H126" s="189"/>
      <c r="I126" s="189"/>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row>
    <row r="127" ht="15.75" customHeight="1">
      <c r="A127" s="189">
        <f t="shared" si="2"/>
        <v>119</v>
      </c>
      <c r="B127" s="190">
        <f t="shared" si="3"/>
        <v>244108.6897</v>
      </c>
      <c r="C127" s="190">
        <f t="shared" si="4"/>
        <v>1671.57082</v>
      </c>
      <c r="D127" s="190">
        <f t="shared" si="5"/>
        <v>1118.831495</v>
      </c>
      <c r="E127" s="190">
        <f t="shared" si="6"/>
        <v>552.7393253</v>
      </c>
      <c r="F127" s="190">
        <f t="shared" si="1"/>
        <v>243555.9504</v>
      </c>
      <c r="G127" s="191">
        <f t="shared" si="7"/>
        <v>200596.7852</v>
      </c>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row>
    <row r="128" ht="15.75" customHeight="1">
      <c r="A128" s="189">
        <f t="shared" si="2"/>
        <v>120</v>
      </c>
      <c r="B128" s="190">
        <f t="shared" si="3"/>
        <v>243555.9504</v>
      </c>
      <c r="C128" s="190">
        <f t="shared" si="4"/>
        <v>1671.57082</v>
      </c>
      <c r="D128" s="190">
        <f t="shared" si="5"/>
        <v>1116.298106</v>
      </c>
      <c r="E128" s="190">
        <f t="shared" si="6"/>
        <v>555.2727139</v>
      </c>
      <c r="F128" s="190">
        <f t="shared" si="1"/>
        <v>243000.6777</v>
      </c>
      <c r="G128" s="191">
        <f t="shared" si="7"/>
        <v>201091.511</v>
      </c>
      <c r="H128" s="189"/>
      <c r="I128" s="189"/>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row>
    <row r="129" ht="15.75" customHeight="1">
      <c r="A129" s="189">
        <f t="shared" si="2"/>
        <v>121</v>
      </c>
      <c r="B129" s="190">
        <f t="shared" si="3"/>
        <v>243000.6777</v>
      </c>
      <c r="C129" s="190">
        <f t="shared" si="4"/>
        <v>1671.57082</v>
      </c>
      <c r="D129" s="190">
        <f t="shared" si="5"/>
        <v>1113.753106</v>
      </c>
      <c r="E129" s="190">
        <f t="shared" si="6"/>
        <v>557.8177138</v>
      </c>
      <c r="F129" s="190">
        <f t="shared" si="1"/>
        <v>242442.86</v>
      </c>
      <c r="G129" s="191">
        <f t="shared" si="7"/>
        <v>201587.4569</v>
      </c>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row>
    <row r="130" ht="15.75" customHeight="1">
      <c r="A130" s="189">
        <f t="shared" si="2"/>
        <v>122</v>
      </c>
      <c r="B130" s="190">
        <f t="shared" si="3"/>
        <v>242442.86</v>
      </c>
      <c r="C130" s="190">
        <f t="shared" si="4"/>
        <v>1671.57082</v>
      </c>
      <c r="D130" s="190">
        <f t="shared" si="5"/>
        <v>1111.196442</v>
      </c>
      <c r="E130" s="190">
        <f t="shared" si="6"/>
        <v>560.3743783</v>
      </c>
      <c r="F130" s="190">
        <f t="shared" si="1"/>
        <v>241882.4856</v>
      </c>
      <c r="G130" s="191">
        <f t="shared" si="7"/>
        <v>202084.626</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row>
    <row r="131" ht="15.75" customHeight="1">
      <c r="A131" s="189">
        <f t="shared" si="2"/>
        <v>123</v>
      </c>
      <c r="B131" s="190">
        <f t="shared" si="3"/>
        <v>241882.4856</v>
      </c>
      <c r="C131" s="190">
        <f t="shared" si="4"/>
        <v>1671.57082</v>
      </c>
      <c r="D131" s="190">
        <f t="shared" si="5"/>
        <v>1108.628059</v>
      </c>
      <c r="E131" s="190">
        <f t="shared" si="6"/>
        <v>562.9427609</v>
      </c>
      <c r="F131" s="190">
        <f t="shared" si="1"/>
        <v>241319.5429</v>
      </c>
      <c r="G131" s="191">
        <f t="shared" si="7"/>
        <v>202583.0212</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row>
    <row r="132" ht="15.75" customHeight="1">
      <c r="A132" s="189">
        <f t="shared" si="2"/>
        <v>124</v>
      </c>
      <c r="B132" s="190">
        <f t="shared" si="3"/>
        <v>241319.5429</v>
      </c>
      <c r="C132" s="190">
        <f t="shared" si="4"/>
        <v>1671.57082</v>
      </c>
      <c r="D132" s="190">
        <f t="shared" si="5"/>
        <v>1106.047905</v>
      </c>
      <c r="E132" s="190">
        <f t="shared" si="6"/>
        <v>565.5229152</v>
      </c>
      <c r="F132" s="190">
        <f t="shared" si="1"/>
        <v>240754.0199</v>
      </c>
      <c r="G132" s="191">
        <f t="shared" si="7"/>
        <v>203082.6455</v>
      </c>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row>
    <row r="133" ht="15.75" customHeight="1">
      <c r="A133" s="189">
        <f t="shared" si="2"/>
        <v>125</v>
      </c>
      <c r="B133" s="190">
        <f t="shared" si="3"/>
        <v>240754.0199</v>
      </c>
      <c r="C133" s="190">
        <f t="shared" si="4"/>
        <v>1671.57082</v>
      </c>
      <c r="D133" s="190">
        <f t="shared" si="5"/>
        <v>1103.455925</v>
      </c>
      <c r="E133" s="190">
        <f t="shared" si="6"/>
        <v>568.1148952</v>
      </c>
      <c r="F133" s="190">
        <f t="shared" si="1"/>
        <v>240185.905</v>
      </c>
      <c r="G133" s="191">
        <f t="shared" si="7"/>
        <v>203583.5021</v>
      </c>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row>
    <row r="134" ht="15.75" customHeight="1">
      <c r="A134" s="189">
        <f t="shared" si="2"/>
        <v>126</v>
      </c>
      <c r="B134" s="190">
        <f t="shared" si="3"/>
        <v>240185.905</v>
      </c>
      <c r="C134" s="190">
        <f t="shared" si="4"/>
        <v>1671.57082</v>
      </c>
      <c r="D134" s="190">
        <f t="shared" si="5"/>
        <v>1100.852065</v>
      </c>
      <c r="E134" s="190">
        <f t="shared" si="6"/>
        <v>570.7187552</v>
      </c>
      <c r="F134" s="190">
        <f t="shared" si="1"/>
        <v>239615.1863</v>
      </c>
      <c r="G134" s="191">
        <f t="shared" si="7"/>
        <v>204085.594</v>
      </c>
      <c r="H134" s="189"/>
      <c r="I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row>
    <row r="135" ht="15.75" customHeight="1">
      <c r="A135" s="189">
        <f t="shared" si="2"/>
        <v>127</v>
      </c>
      <c r="B135" s="190">
        <f t="shared" si="3"/>
        <v>239615.1863</v>
      </c>
      <c r="C135" s="190">
        <f t="shared" si="4"/>
        <v>1671.57082</v>
      </c>
      <c r="D135" s="190">
        <f t="shared" si="5"/>
        <v>1098.23627</v>
      </c>
      <c r="E135" s="190">
        <f t="shared" si="6"/>
        <v>573.3345495</v>
      </c>
      <c r="F135" s="190">
        <f t="shared" si="1"/>
        <v>239041.8517</v>
      </c>
      <c r="G135" s="191">
        <f t="shared" si="7"/>
        <v>204588.9241</v>
      </c>
      <c r="H135" s="189"/>
      <c r="I135" s="189"/>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row>
    <row r="136" ht="15.75" customHeight="1">
      <c r="A136" s="189">
        <f t="shared" si="2"/>
        <v>128</v>
      </c>
      <c r="B136" s="190">
        <f t="shared" si="3"/>
        <v>239041.8517</v>
      </c>
      <c r="C136" s="190">
        <f t="shared" si="4"/>
        <v>1671.57082</v>
      </c>
      <c r="D136" s="190">
        <f t="shared" si="5"/>
        <v>1095.608487</v>
      </c>
      <c r="E136" s="190">
        <f t="shared" si="6"/>
        <v>575.9623328</v>
      </c>
      <c r="F136" s="190">
        <f t="shared" si="1"/>
        <v>238465.8894</v>
      </c>
      <c r="G136" s="191">
        <f t="shared" si="7"/>
        <v>205093.4956</v>
      </c>
      <c r="H136" s="189"/>
      <c r="I136" s="189"/>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row>
    <row r="137" ht="15.75" customHeight="1">
      <c r="A137" s="189">
        <f t="shared" si="2"/>
        <v>129</v>
      </c>
      <c r="B137" s="190">
        <f t="shared" si="3"/>
        <v>238465.8894</v>
      </c>
      <c r="C137" s="190">
        <f t="shared" si="4"/>
        <v>1671.57082</v>
      </c>
      <c r="D137" s="190">
        <f t="shared" si="5"/>
        <v>1092.96866</v>
      </c>
      <c r="E137" s="190">
        <f t="shared" si="6"/>
        <v>578.6021602</v>
      </c>
      <c r="F137" s="190">
        <f t="shared" si="1"/>
        <v>237887.2872</v>
      </c>
      <c r="G137" s="191">
        <f t="shared" si="7"/>
        <v>205599.3115</v>
      </c>
      <c r="H137" s="189"/>
      <c r="I137" s="189"/>
      <c r="J137" s="189"/>
      <c r="K137" s="189"/>
      <c r="L137" s="189"/>
      <c r="M137" s="189"/>
      <c r="N137" s="189"/>
      <c r="O137" s="189"/>
      <c r="P137" s="189"/>
      <c r="Q137" s="189"/>
      <c r="R137" s="189"/>
      <c r="S137" s="189"/>
      <c r="T137" s="189"/>
      <c r="U137" s="189"/>
      <c r="V137" s="189"/>
      <c r="W137" s="189"/>
      <c r="X137" s="189"/>
      <c r="Y137" s="189"/>
      <c r="Z137" s="189"/>
      <c r="AA137" s="189"/>
      <c r="AB137" s="189"/>
      <c r="AC137" s="189"/>
      <c r="AD137" s="189"/>
      <c r="AE137" s="189"/>
      <c r="AF137" s="189"/>
      <c r="AG137" s="189"/>
      <c r="AH137" s="189"/>
      <c r="AI137" s="189"/>
      <c r="AJ137" s="189"/>
      <c r="AK137" s="189"/>
      <c r="AL137" s="189"/>
      <c r="AM137" s="189"/>
    </row>
    <row r="138" ht="15.75" customHeight="1">
      <c r="A138" s="189">
        <f t="shared" si="2"/>
        <v>130</v>
      </c>
      <c r="B138" s="190">
        <f t="shared" si="3"/>
        <v>237887.2872</v>
      </c>
      <c r="C138" s="190">
        <f t="shared" si="4"/>
        <v>1671.57082</v>
      </c>
      <c r="D138" s="190">
        <f t="shared" si="5"/>
        <v>1090.316733</v>
      </c>
      <c r="E138" s="190">
        <f t="shared" si="6"/>
        <v>581.2540868</v>
      </c>
      <c r="F138" s="190">
        <f t="shared" si="1"/>
        <v>237306.0332</v>
      </c>
      <c r="G138" s="191">
        <f t="shared" si="7"/>
        <v>206106.3748</v>
      </c>
      <c r="H138" s="189"/>
      <c r="I138" s="189"/>
      <c r="J138" s="189"/>
      <c r="K138" s="189"/>
      <c r="L138" s="189"/>
      <c r="M138" s="189"/>
      <c r="N138" s="189"/>
      <c r="O138" s="189"/>
      <c r="P138" s="189"/>
      <c r="Q138" s="189"/>
      <c r="R138" s="189"/>
      <c r="S138" s="189"/>
      <c r="T138" s="189"/>
      <c r="U138" s="189"/>
      <c r="V138" s="189"/>
      <c r="W138" s="189"/>
      <c r="X138" s="189"/>
      <c r="Y138" s="189"/>
      <c r="Z138" s="189"/>
      <c r="AA138" s="189"/>
      <c r="AB138" s="189"/>
      <c r="AC138" s="189"/>
      <c r="AD138" s="189"/>
      <c r="AE138" s="189"/>
      <c r="AF138" s="189"/>
      <c r="AG138" s="189"/>
      <c r="AH138" s="189"/>
      <c r="AI138" s="189"/>
      <c r="AJ138" s="189"/>
      <c r="AK138" s="189"/>
      <c r="AL138" s="189"/>
      <c r="AM138" s="189"/>
    </row>
    <row r="139" ht="15.75" customHeight="1">
      <c r="A139" s="189">
        <f t="shared" si="2"/>
        <v>131</v>
      </c>
      <c r="B139" s="190">
        <f t="shared" si="3"/>
        <v>237306.0332</v>
      </c>
      <c r="C139" s="190">
        <f t="shared" si="4"/>
        <v>1671.57082</v>
      </c>
      <c r="D139" s="190">
        <f t="shared" si="5"/>
        <v>1087.652652</v>
      </c>
      <c r="E139" s="190">
        <f t="shared" si="6"/>
        <v>583.918168</v>
      </c>
      <c r="F139" s="190">
        <f t="shared" si="1"/>
        <v>236722.115</v>
      </c>
      <c r="G139" s="191">
        <f t="shared" si="7"/>
        <v>206614.6888</v>
      </c>
      <c r="H139" s="189"/>
      <c r="I139" s="189"/>
      <c r="J139" s="189"/>
      <c r="K139" s="189"/>
      <c r="L139" s="189"/>
      <c r="M139" s="189"/>
      <c r="N139" s="189"/>
      <c r="O139" s="189"/>
      <c r="P139" s="189"/>
      <c r="Q139" s="189"/>
      <c r="R139" s="189"/>
      <c r="S139" s="189"/>
      <c r="T139" s="189"/>
      <c r="U139" s="189"/>
      <c r="V139" s="189"/>
      <c r="W139" s="189"/>
      <c r="X139" s="189"/>
      <c r="Y139" s="189"/>
      <c r="Z139" s="189"/>
      <c r="AA139" s="189"/>
      <c r="AB139" s="189"/>
      <c r="AC139" s="189"/>
      <c r="AD139" s="189"/>
      <c r="AE139" s="189"/>
      <c r="AF139" s="189"/>
      <c r="AG139" s="189"/>
      <c r="AH139" s="189"/>
      <c r="AI139" s="189"/>
      <c r="AJ139" s="189"/>
      <c r="AK139" s="189"/>
      <c r="AL139" s="189"/>
      <c r="AM139" s="189"/>
    </row>
    <row r="140" ht="15.75" customHeight="1">
      <c r="A140" s="189">
        <f t="shared" si="2"/>
        <v>132</v>
      </c>
      <c r="B140" s="190">
        <f t="shared" si="3"/>
        <v>236722.115</v>
      </c>
      <c r="C140" s="190">
        <f t="shared" si="4"/>
        <v>1671.57082</v>
      </c>
      <c r="D140" s="190">
        <f t="shared" si="5"/>
        <v>1084.97636</v>
      </c>
      <c r="E140" s="190">
        <f t="shared" si="6"/>
        <v>586.5944596</v>
      </c>
      <c r="F140" s="190">
        <f t="shared" si="1"/>
        <v>236135.5205</v>
      </c>
      <c r="G140" s="191">
        <f t="shared" si="7"/>
        <v>207124.2563</v>
      </c>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89"/>
      <c r="AE140" s="189"/>
      <c r="AF140" s="189"/>
      <c r="AG140" s="189"/>
      <c r="AH140" s="189"/>
      <c r="AI140" s="189"/>
      <c r="AJ140" s="189"/>
      <c r="AK140" s="189"/>
      <c r="AL140" s="189"/>
      <c r="AM140" s="189"/>
    </row>
    <row r="141" ht="15.75" customHeight="1">
      <c r="A141" s="189">
        <f t="shared" si="2"/>
        <v>133</v>
      </c>
      <c r="B141" s="190">
        <f t="shared" si="3"/>
        <v>236135.5205</v>
      </c>
      <c r="C141" s="190">
        <f t="shared" si="4"/>
        <v>1671.57082</v>
      </c>
      <c r="D141" s="190">
        <f t="shared" si="5"/>
        <v>1082.287802</v>
      </c>
      <c r="E141" s="190">
        <f t="shared" si="6"/>
        <v>589.2830175</v>
      </c>
      <c r="F141" s="190">
        <f t="shared" si="1"/>
        <v>235546.2375</v>
      </c>
      <c r="G141" s="191">
        <f t="shared" si="7"/>
        <v>207635.0806</v>
      </c>
      <c r="H141" s="189"/>
      <c r="I141" s="189"/>
      <c r="J141" s="189"/>
      <c r="K141" s="189"/>
      <c r="L141" s="189"/>
      <c r="M141" s="189"/>
      <c r="N141" s="189"/>
      <c r="O141" s="189"/>
      <c r="P141" s="189"/>
      <c r="Q141" s="189"/>
      <c r="R141" s="189"/>
      <c r="S141" s="189"/>
      <c r="T141" s="189"/>
      <c r="U141" s="189"/>
      <c r="V141" s="189"/>
      <c r="W141" s="189"/>
      <c r="X141" s="189"/>
      <c r="Y141" s="189"/>
      <c r="Z141" s="189"/>
      <c r="AA141" s="189"/>
      <c r="AB141" s="189"/>
      <c r="AC141" s="189"/>
      <c r="AD141" s="189"/>
      <c r="AE141" s="189"/>
      <c r="AF141" s="189"/>
      <c r="AG141" s="189"/>
      <c r="AH141" s="189"/>
      <c r="AI141" s="189"/>
      <c r="AJ141" s="189"/>
      <c r="AK141" s="189"/>
      <c r="AL141" s="189"/>
      <c r="AM141" s="189"/>
    </row>
    <row r="142" ht="15.75" customHeight="1">
      <c r="A142" s="189">
        <f t="shared" si="2"/>
        <v>134</v>
      </c>
      <c r="B142" s="190">
        <f t="shared" si="3"/>
        <v>235546.2375</v>
      </c>
      <c r="C142" s="190">
        <f t="shared" si="4"/>
        <v>1671.57082</v>
      </c>
      <c r="D142" s="190">
        <f t="shared" si="5"/>
        <v>1079.586922</v>
      </c>
      <c r="E142" s="190">
        <f t="shared" si="6"/>
        <v>591.983898</v>
      </c>
      <c r="F142" s="190">
        <f t="shared" si="1"/>
        <v>234954.2536</v>
      </c>
      <c r="G142" s="191">
        <f t="shared" si="7"/>
        <v>208147.1647</v>
      </c>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89"/>
    </row>
    <row r="143" ht="15.75" customHeight="1">
      <c r="A143" s="189">
        <f t="shared" si="2"/>
        <v>135</v>
      </c>
      <c r="B143" s="190">
        <f t="shared" si="3"/>
        <v>234954.2536</v>
      </c>
      <c r="C143" s="190">
        <f t="shared" si="4"/>
        <v>1671.57082</v>
      </c>
      <c r="D143" s="190">
        <f t="shared" si="5"/>
        <v>1076.873662</v>
      </c>
      <c r="E143" s="190">
        <f t="shared" si="6"/>
        <v>594.6971576</v>
      </c>
      <c r="F143" s="190">
        <f t="shared" si="1"/>
        <v>234359.5565</v>
      </c>
      <c r="G143" s="191">
        <f t="shared" si="7"/>
        <v>208660.5118</v>
      </c>
      <c r="H143" s="189"/>
      <c r="I143" s="189"/>
      <c r="J143" s="189"/>
      <c r="K143" s="189"/>
      <c r="L143" s="189"/>
      <c r="M143" s="189"/>
      <c r="N143" s="189"/>
      <c r="O143" s="189"/>
      <c r="P143" s="189"/>
      <c r="Q143" s="189"/>
      <c r="R143" s="189"/>
      <c r="S143" s="189"/>
      <c r="T143" s="189"/>
      <c r="U143" s="189"/>
      <c r="V143" s="189"/>
      <c r="W143" s="189"/>
      <c r="X143" s="189"/>
      <c r="Y143" s="189"/>
      <c r="Z143" s="189"/>
      <c r="AA143" s="189"/>
      <c r="AB143" s="189"/>
      <c r="AC143" s="189"/>
      <c r="AD143" s="189"/>
      <c r="AE143" s="189"/>
      <c r="AF143" s="189"/>
      <c r="AG143" s="189"/>
      <c r="AH143" s="189"/>
      <c r="AI143" s="189"/>
      <c r="AJ143" s="189"/>
      <c r="AK143" s="189"/>
      <c r="AL143" s="189"/>
      <c r="AM143" s="189"/>
    </row>
    <row r="144" ht="15.75" customHeight="1">
      <c r="A144" s="189">
        <f t="shared" si="2"/>
        <v>136</v>
      </c>
      <c r="B144" s="190">
        <f t="shared" si="3"/>
        <v>234359.5565</v>
      </c>
      <c r="C144" s="190">
        <f t="shared" si="4"/>
        <v>1671.57082</v>
      </c>
      <c r="D144" s="190">
        <f t="shared" si="5"/>
        <v>1074.147967</v>
      </c>
      <c r="E144" s="190">
        <f t="shared" si="6"/>
        <v>597.4228529</v>
      </c>
      <c r="F144" s="190">
        <f t="shared" si="1"/>
        <v>233762.1336</v>
      </c>
      <c r="G144" s="191">
        <f t="shared" si="7"/>
        <v>209175.1249</v>
      </c>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row>
    <row r="145" ht="15.75" customHeight="1">
      <c r="A145" s="189">
        <f t="shared" si="2"/>
        <v>137</v>
      </c>
      <c r="B145" s="190">
        <f t="shared" si="3"/>
        <v>233762.1336</v>
      </c>
      <c r="C145" s="190">
        <f t="shared" si="4"/>
        <v>1671.57082</v>
      </c>
      <c r="D145" s="190">
        <f t="shared" si="5"/>
        <v>1071.409779</v>
      </c>
      <c r="E145" s="190">
        <f t="shared" si="6"/>
        <v>600.1610409</v>
      </c>
      <c r="F145" s="190">
        <f t="shared" si="1"/>
        <v>233161.9726</v>
      </c>
      <c r="G145" s="191">
        <f t="shared" si="7"/>
        <v>209691.0072</v>
      </c>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row>
    <row r="146" ht="15.75" customHeight="1">
      <c r="A146" s="189">
        <f t="shared" si="2"/>
        <v>138</v>
      </c>
      <c r="B146" s="190">
        <f t="shared" si="3"/>
        <v>233161.9726</v>
      </c>
      <c r="C146" s="190">
        <f t="shared" si="4"/>
        <v>1671.57082</v>
      </c>
      <c r="D146" s="190">
        <f t="shared" si="5"/>
        <v>1068.659041</v>
      </c>
      <c r="E146" s="190">
        <f t="shared" si="6"/>
        <v>602.911779</v>
      </c>
      <c r="F146" s="190">
        <f t="shared" si="1"/>
        <v>232559.0608</v>
      </c>
      <c r="G146" s="191">
        <f t="shared" si="7"/>
        <v>210208.1618</v>
      </c>
      <c r="H146" s="189"/>
      <c r="I146" s="189"/>
      <c r="J146" s="189"/>
      <c r="K146" s="189"/>
      <c r="L146" s="189"/>
      <c r="M146" s="189"/>
      <c r="N146" s="189"/>
      <c r="O146" s="189"/>
      <c r="P146" s="189"/>
      <c r="Q146" s="189"/>
      <c r="R146" s="189"/>
      <c r="S146" s="189"/>
      <c r="T146" s="189"/>
      <c r="U146" s="189"/>
      <c r="V146" s="189"/>
      <c r="W146" s="189"/>
      <c r="X146" s="189"/>
      <c r="Y146" s="189"/>
      <c r="Z146" s="189"/>
      <c r="AA146" s="189"/>
      <c r="AB146" s="189"/>
      <c r="AC146" s="189"/>
      <c r="AD146" s="189"/>
      <c r="AE146" s="189"/>
      <c r="AF146" s="189"/>
      <c r="AG146" s="189"/>
      <c r="AH146" s="189"/>
      <c r="AI146" s="189"/>
      <c r="AJ146" s="189"/>
      <c r="AK146" s="189"/>
      <c r="AL146" s="189"/>
      <c r="AM146" s="189"/>
    </row>
    <row r="147" ht="15.75" customHeight="1">
      <c r="A147" s="189">
        <f t="shared" si="2"/>
        <v>139</v>
      </c>
      <c r="B147" s="190">
        <f t="shared" si="3"/>
        <v>232559.0608</v>
      </c>
      <c r="C147" s="190">
        <f t="shared" si="4"/>
        <v>1671.57082</v>
      </c>
      <c r="D147" s="190">
        <f t="shared" si="5"/>
        <v>1065.895695</v>
      </c>
      <c r="E147" s="190">
        <f t="shared" si="6"/>
        <v>605.6751247</v>
      </c>
      <c r="F147" s="190">
        <f t="shared" si="1"/>
        <v>231953.3857</v>
      </c>
      <c r="G147" s="191">
        <f t="shared" si="7"/>
        <v>210726.5918</v>
      </c>
      <c r="H147" s="189"/>
      <c r="I147" s="189"/>
      <c r="J147" s="189"/>
      <c r="K147" s="189"/>
      <c r="L147" s="189"/>
      <c r="M147" s="189"/>
      <c r="N147" s="189"/>
      <c r="O147" s="189"/>
      <c r="P147" s="189"/>
      <c r="Q147" s="189"/>
      <c r="R147" s="189"/>
      <c r="S147" s="189"/>
      <c r="T147" s="189"/>
      <c r="U147" s="189"/>
      <c r="V147" s="189"/>
      <c r="W147" s="189"/>
      <c r="X147" s="189"/>
      <c r="Y147" s="189"/>
      <c r="Z147" s="189"/>
      <c r="AA147" s="189"/>
      <c r="AB147" s="189"/>
      <c r="AC147" s="189"/>
      <c r="AD147" s="189"/>
      <c r="AE147" s="189"/>
      <c r="AF147" s="189"/>
      <c r="AG147" s="189"/>
      <c r="AH147" s="189"/>
      <c r="AI147" s="189"/>
      <c r="AJ147" s="189"/>
      <c r="AK147" s="189"/>
      <c r="AL147" s="189"/>
      <c r="AM147" s="189"/>
    </row>
    <row r="148" ht="15.75" customHeight="1">
      <c r="A148" s="189">
        <f t="shared" si="2"/>
        <v>140</v>
      </c>
      <c r="B148" s="190">
        <f t="shared" si="3"/>
        <v>231953.3857</v>
      </c>
      <c r="C148" s="190">
        <f t="shared" si="4"/>
        <v>1671.57082</v>
      </c>
      <c r="D148" s="190">
        <f t="shared" si="5"/>
        <v>1063.119684</v>
      </c>
      <c r="E148" s="190">
        <f t="shared" si="6"/>
        <v>608.4511357</v>
      </c>
      <c r="F148" s="190">
        <f t="shared" si="1"/>
        <v>231344.9345</v>
      </c>
      <c r="G148" s="191">
        <f t="shared" si="7"/>
        <v>211246.3004</v>
      </c>
      <c r="H148" s="189"/>
      <c r="I148" s="189"/>
      <c r="J148" s="189"/>
      <c r="K148" s="189"/>
      <c r="L148" s="189"/>
      <c r="M148" s="189"/>
      <c r="N148" s="189"/>
      <c r="O148" s="189"/>
      <c r="P148" s="189"/>
      <c r="Q148" s="189"/>
      <c r="R148" s="189"/>
      <c r="S148" s="189"/>
      <c r="T148" s="189"/>
      <c r="U148" s="189"/>
      <c r="V148" s="189"/>
      <c r="W148" s="189"/>
      <c r="X148" s="189"/>
      <c r="Y148" s="189"/>
      <c r="Z148" s="189"/>
      <c r="AA148" s="189"/>
      <c r="AB148" s="189"/>
      <c r="AC148" s="189"/>
      <c r="AD148" s="189"/>
      <c r="AE148" s="189"/>
      <c r="AF148" s="189"/>
      <c r="AG148" s="189"/>
      <c r="AH148" s="189"/>
      <c r="AI148" s="189"/>
      <c r="AJ148" s="189"/>
      <c r="AK148" s="189"/>
      <c r="AL148" s="189"/>
      <c r="AM148" s="189"/>
    </row>
    <row r="149" ht="15.75" customHeight="1">
      <c r="A149" s="189">
        <f t="shared" si="2"/>
        <v>141</v>
      </c>
      <c r="B149" s="190">
        <f t="shared" si="3"/>
        <v>231344.9345</v>
      </c>
      <c r="C149" s="190">
        <f t="shared" si="4"/>
        <v>1671.57082</v>
      </c>
      <c r="D149" s="190">
        <f t="shared" si="5"/>
        <v>1060.33095</v>
      </c>
      <c r="E149" s="190">
        <f t="shared" si="6"/>
        <v>611.2398701</v>
      </c>
      <c r="F149" s="190">
        <f t="shared" si="1"/>
        <v>230733.6947</v>
      </c>
      <c r="G149" s="191">
        <f t="shared" si="7"/>
        <v>211767.2908</v>
      </c>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row>
    <row r="150" ht="15.75" customHeight="1">
      <c r="A150" s="189">
        <f t="shared" si="2"/>
        <v>142</v>
      </c>
      <c r="B150" s="190">
        <f t="shared" si="3"/>
        <v>230733.6947</v>
      </c>
      <c r="C150" s="190">
        <f t="shared" si="4"/>
        <v>1671.57082</v>
      </c>
      <c r="D150" s="190">
        <f t="shared" si="5"/>
        <v>1057.529434</v>
      </c>
      <c r="E150" s="190">
        <f t="shared" si="6"/>
        <v>614.0413861</v>
      </c>
      <c r="F150" s="190">
        <f t="shared" si="1"/>
        <v>230119.6533</v>
      </c>
      <c r="G150" s="191">
        <f t="shared" si="7"/>
        <v>212289.5661</v>
      </c>
      <c r="H150" s="189"/>
      <c r="I150" s="189"/>
      <c r="J150" s="189"/>
      <c r="K150" s="189"/>
      <c r="L150" s="189"/>
      <c r="M150" s="189"/>
      <c r="N150" s="189"/>
      <c r="O150" s="189"/>
      <c r="P150" s="189"/>
      <c r="Q150" s="189"/>
      <c r="R150" s="189"/>
      <c r="S150" s="189"/>
      <c r="T150" s="189"/>
      <c r="U150" s="189"/>
      <c r="V150" s="189"/>
      <c r="W150" s="189"/>
      <c r="X150" s="189"/>
      <c r="Y150" s="189"/>
      <c r="Z150" s="189"/>
      <c r="AA150" s="189"/>
      <c r="AB150" s="189"/>
      <c r="AC150" s="189"/>
      <c r="AD150" s="189"/>
      <c r="AE150" s="189"/>
      <c r="AF150" s="189"/>
      <c r="AG150" s="189"/>
      <c r="AH150" s="189"/>
      <c r="AI150" s="189"/>
      <c r="AJ150" s="189"/>
      <c r="AK150" s="189"/>
      <c r="AL150" s="189"/>
      <c r="AM150" s="189"/>
    </row>
    <row r="151" ht="15.75" customHeight="1">
      <c r="A151" s="189">
        <f t="shared" si="2"/>
        <v>143</v>
      </c>
      <c r="B151" s="190">
        <f t="shared" si="3"/>
        <v>230119.6533</v>
      </c>
      <c r="C151" s="190">
        <f t="shared" si="4"/>
        <v>1671.57082</v>
      </c>
      <c r="D151" s="190">
        <f t="shared" si="5"/>
        <v>1054.715077</v>
      </c>
      <c r="E151" s="190">
        <f t="shared" si="6"/>
        <v>616.8557425</v>
      </c>
      <c r="F151" s="190">
        <f t="shared" si="1"/>
        <v>229502.7975</v>
      </c>
      <c r="G151" s="191">
        <f t="shared" si="7"/>
        <v>212813.1294</v>
      </c>
      <c r="H151" s="189"/>
      <c r="I151" s="189"/>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row>
    <row r="152" ht="15.75" customHeight="1">
      <c r="A152" s="189">
        <f t="shared" si="2"/>
        <v>144</v>
      </c>
      <c r="B152" s="190">
        <f t="shared" si="3"/>
        <v>229502.7975</v>
      </c>
      <c r="C152" s="190">
        <f t="shared" si="4"/>
        <v>1671.57082</v>
      </c>
      <c r="D152" s="190">
        <f t="shared" si="5"/>
        <v>1051.887822</v>
      </c>
      <c r="E152" s="190">
        <f t="shared" si="6"/>
        <v>619.682998</v>
      </c>
      <c r="F152" s="190">
        <f t="shared" si="1"/>
        <v>228883.1145</v>
      </c>
      <c r="G152" s="191">
        <f t="shared" si="7"/>
        <v>213337.984</v>
      </c>
      <c r="H152" s="189"/>
      <c r="I152" s="189"/>
      <c r="J152" s="189"/>
      <c r="K152" s="189"/>
      <c r="L152" s="189"/>
      <c r="M152" s="189"/>
      <c r="N152" s="189"/>
      <c r="O152" s="189"/>
      <c r="P152" s="189"/>
      <c r="Q152" s="189"/>
      <c r="R152" s="189"/>
      <c r="S152" s="189"/>
      <c r="T152" s="189"/>
      <c r="U152" s="189"/>
      <c r="V152" s="189"/>
      <c r="W152" s="189"/>
      <c r="X152" s="189"/>
      <c r="Y152" s="189"/>
      <c r="Z152" s="189"/>
      <c r="AA152" s="189"/>
      <c r="AB152" s="189"/>
      <c r="AC152" s="189"/>
      <c r="AD152" s="189"/>
      <c r="AE152" s="189"/>
      <c r="AF152" s="189"/>
      <c r="AG152" s="189"/>
      <c r="AH152" s="189"/>
      <c r="AI152" s="189"/>
      <c r="AJ152" s="189"/>
      <c r="AK152" s="189"/>
      <c r="AL152" s="189"/>
      <c r="AM152" s="189"/>
    </row>
    <row r="153" ht="15.75" customHeight="1">
      <c r="A153" s="189">
        <f t="shared" si="2"/>
        <v>145</v>
      </c>
      <c r="B153" s="190">
        <f t="shared" si="3"/>
        <v>228883.1145</v>
      </c>
      <c r="C153" s="190">
        <f t="shared" si="4"/>
        <v>1671.57082</v>
      </c>
      <c r="D153" s="190">
        <f t="shared" si="5"/>
        <v>1049.047608</v>
      </c>
      <c r="E153" s="190">
        <f t="shared" si="6"/>
        <v>622.5232117</v>
      </c>
      <c r="F153" s="190">
        <f t="shared" si="1"/>
        <v>228260.5913</v>
      </c>
      <c r="G153" s="191">
        <f t="shared" si="7"/>
        <v>213864.133</v>
      </c>
      <c r="H153" s="189"/>
      <c r="I153" s="189"/>
      <c r="J153" s="189"/>
      <c r="K153" s="189"/>
      <c r="L153" s="189"/>
      <c r="M153" s="189"/>
      <c r="N153" s="189"/>
      <c r="O153" s="189"/>
      <c r="P153" s="189"/>
      <c r="Q153" s="189"/>
      <c r="R153" s="189"/>
      <c r="S153" s="189"/>
      <c r="T153" s="189"/>
      <c r="U153" s="189"/>
      <c r="V153" s="189"/>
      <c r="W153" s="189"/>
      <c r="X153" s="189"/>
      <c r="Y153" s="189"/>
      <c r="Z153" s="189"/>
      <c r="AA153" s="189"/>
      <c r="AB153" s="189"/>
      <c r="AC153" s="189"/>
      <c r="AD153" s="189"/>
      <c r="AE153" s="189"/>
      <c r="AF153" s="189"/>
      <c r="AG153" s="189"/>
      <c r="AH153" s="189"/>
      <c r="AI153" s="189"/>
      <c r="AJ153" s="189"/>
      <c r="AK153" s="189"/>
      <c r="AL153" s="189"/>
      <c r="AM153" s="189"/>
    </row>
    <row r="154" ht="15.75" customHeight="1">
      <c r="A154" s="189">
        <f t="shared" si="2"/>
        <v>146</v>
      </c>
      <c r="B154" s="190">
        <f t="shared" si="3"/>
        <v>228260.5913</v>
      </c>
      <c r="C154" s="190">
        <f t="shared" si="4"/>
        <v>1671.57082</v>
      </c>
      <c r="D154" s="190">
        <f t="shared" si="5"/>
        <v>1046.194377</v>
      </c>
      <c r="E154" s="190">
        <f t="shared" si="6"/>
        <v>625.3764431</v>
      </c>
      <c r="F154" s="190">
        <f t="shared" si="1"/>
        <v>227635.2149</v>
      </c>
      <c r="G154" s="191">
        <f t="shared" si="7"/>
        <v>214391.5797</v>
      </c>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9"/>
      <c r="AF154" s="189"/>
      <c r="AG154" s="189"/>
      <c r="AH154" s="189"/>
      <c r="AI154" s="189"/>
      <c r="AJ154" s="189"/>
      <c r="AK154" s="189"/>
      <c r="AL154" s="189"/>
      <c r="AM154" s="189"/>
    </row>
    <row r="155" ht="15.75" customHeight="1">
      <c r="A155" s="189">
        <f t="shared" si="2"/>
        <v>147</v>
      </c>
      <c r="B155" s="190">
        <f t="shared" si="3"/>
        <v>227635.2149</v>
      </c>
      <c r="C155" s="190">
        <f t="shared" si="4"/>
        <v>1671.57082</v>
      </c>
      <c r="D155" s="190">
        <f t="shared" si="5"/>
        <v>1043.328068</v>
      </c>
      <c r="E155" s="190">
        <f t="shared" si="6"/>
        <v>628.2427518</v>
      </c>
      <c r="F155" s="190">
        <f t="shared" si="1"/>
        <v>227006.9721</v>
      </c>
      <c r="G155" s="191">
        <f t="shared" si="7"/>
        <v>214920.3271</v>
      </c>
      <c r="H155" s="189"/>
      <c r="I155" s="189"/>
      <c r="J155" s="189"/>
      <c r="K155" s="189"/>
      <c r="L155" s="189"/>
      <c r="M155" s="189"/>
      <c r="N155" s="189"/>
      <c r="O155" s="189"/>
      <c r="P155" s="189"/>
      <c r="Q155" s="189"/>
      <c r="R155" s="189"/>
      <c r="S155" s="189"/>
      <c r="T155" s="189"/>
      <c r="U155" s="189"/>
      <c r="V155" s="189"/>
      <c r="W155" s="189"/>
      <c r="X155" s="189"/>
      <c r="Y155" s="189"/>
      <c r="Z155" s="189"/>
      <c r="AA155" s="189"/>
      <c r="AB155" s="189"/>
      <c r="AC155" s="189"/>
      <c r="AD155" s="189"/>
      <c r="AE155" s="189"/>
      <c r="AF155" s="189"/>
      <c r="AG155" s="189"/>
      <c r="AH155" s="189"/>
      <c r="AI155" s="189"/>
      <c r="AJ155" s="189"/>
      <c r="AK155" s="189"/>
      <c r="AL155" s="189"/>
      <c r="AM155" s="189"/>
    </row>
    <row r="156" ht="15.75" customHeight="1">
      <c r="A156" s="189">
        <f t="shared" si="2"/>
        <v>148</v>
      </c>
      <c r="B156" s="190">
        <f t="shared" si="3"/>
        <v>227006.9721</v>
      </c>
      <c r="C156" s="190">
        <f t="shared" si="4"/>
        <v>1671.57082</v>
      </c>
      <c r="D156" s="190">
        <f t="shared" si="5"/>
        <v>1040.448622</v>
      </c>
      <c r="E156" s="190">
        <f t="shared" si="6"/>
        <v>631.1221977</v>
      </c>
      <c r="F156" s="190">
        <f t="shared" si="1"/>
        <v>226375.8499</v>
      </c>
      <c r="G156" s="191">
        <f t="shared" si="7"/>
        <v>215450.3787</v>
      </c>
      <c r="H156" s="189"/>
      <c r="I156" s="189"/>
      <c r="J156" s="189"/>
      <c r="K156" s="189"/>
      <c r="L156" s="189"/>
      <c r="M156" s="189"/>
      <c r="N156" s="189"/>
      <c r="O156" s="189"/>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c r="AM156" s="189"/>
    </row>
    <row r="157" ht="15.75" customHeight="1">
      <c r="A157" s="189">
        <f t="shared" si="2"/>
        <v>149</v>
      </c>
      <c r="B157" s="190">
        <f t="shared" si="3"/>
        <v>226375.8499</v>
      </c>
      <c r="C157" s="190">
        <f t="shared" si="4"/>
        <v>1671.57082</v>
      </c>
      <c r="D157" s="190">
        <f t="shared" si="5"/>
        <v>1037.555979</v>
      </c>
      <c r="E157" s="190">
        <f t="shared" si="6"/>
        <v>634.0148411</v>
      </c>
      <c r="F157" s="190">
        <f t="shared" si="1"/>
        <v>225741.8351</v>
      </c>
      <c r="G157" s="191">
        <f t="shared" si="7"/>
        <v>215981.7374</v>
      </c>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row>
    <row r="158" ht="15.75" customHeight="1">
      <c r="A158" s="189">
        <f t="shared" si="2"/>
        <v>150</v>
      </c>
      <c r="B158" s="190">
        <f t="shared" si="3"/>
        <v>225741.8351</v>
      </c>
      <c r="C158" s="190">
        <f t="shared" si="4"/>
        <v>1671.57082</v>
      </c>
      <c r="D158" s="190">
        <f t="shared" si="5"/>
        <v>1034.650077</v>
      </c>
      <c r="E158" s="190">
        <f t="shared" si="6"/>
        <v>636.9207425</v>
      </c>
      <c r="F158" s="190">
        <f t="shared" si="1"/>
        <v>225104.9143</v>
      </c>
      <c r="G158" s="191">
        <f t="shared" si="7"/>
        <v>216514.4066</v>
      </c>
      <c r="H158" s="189"/>
      <c r="I158" s="189"/>
      <c r="J158" s="189"/>
      <c r="K158" s="189"/>
      <c r="L158" s="189"/>
      <c r="M158" s="189"/>
      <c r="N158" s="189"/>
      <c r="O158" s="189"/>
      <c r="P158" s="189"/>
      <c r="Q158" s="189"/>
      <c r="R158" s="189"/>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89"/>
    </row>
    <row r="159" ht="15.75" customHeight="1">
      <c r="A159" s="189">
        <f t="shared" si="2"/>
        <v>151</v>
      </c>
      <c r="B159" s="190">
        <f t="shared" si="3"/>
        <v>225104.9143</v>
      </c>
      <c r="C159" s="190">
        <f t="shared" si="4"/>
        <v>1671.57082</v>
      </c>
      <c r="D159" s="190">
        <f t="shared" si="5"/>
        <v>1031.730857</v>
      </c>
      <c r="E159" s="190">
        <f t="shared" si="6"/>
        <v>639.8399626</v>
      </c>
      <c r="F159" s="190">
        <f t="shared" si="1"/>
        <v>224465.0744</v>
      </c>
      <c r="G159" s="191">
        <f t="shared" si="7"/>
        <v>217048.3896</v>
      </c>
      <c r="H159" s="189"/>
      <c r="I159" s="189"/>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row>
    <row r="160" ht="15.75" customHeight="1">
      <c r="A160" s="189">
        <f t="shared" si="2"/>
        <v>152</v>
      </c>
      <c r="B160" s="190">
        <f t="shared" si="3"/>
        <v>224465.0744</v>
      </c>
      <c r="C160" s="190">
        <f t="shared" si="4"/>
        <v>1671.57082</v>
      </c>
      <c r="D160" s="190">
        <f t="shared" si="5"/>
        <v>1028.798258</v>
      </c>
      <c r="E160" s="190">
        <f t="shared" si="6"/>
        <v>642.7725624</v>
      </c>
      <c r="F160" s="190">
        <f t="shared" si="1"/>
        <v>223822.3018</v>
      </c>
      <c r="G160" s="191">
        <f t="shared" si="7"/>
        <v>217583.6895</v>
      </c>
      <c r="H160" s="189"/>
      <c r="I160" s="189"/>
      <c r="J160" s="189"/>
      <c r="K160" s="189"/>
      <c r="L160" s="189"/>
      <c r="M160" s="189"/>
      <c r="N160" s="189"/>
      <c r="O160" s="189"/>
      <c r="P160" s="189"/>
      <c r="Q160" s="189"/>
      <c r="R160" s="189"/>
      <c r="S160" s="189"/>
      <c r="T160" s="189"/>
      <c r="U160" s="189"/>
      <c r="V160" s="189"/>
      <c r="W160" s="189"/>
      <c r="X160" s="189"/>
      <c r="Y160" s="189"/>
      <c r="Z160" s="189"/>
      <c r="AA160" s="189"/>
      <c r="AB160" s="189"/>
      <c r="AC160" s="189"/>
      <c r="AD160" s="189"/>
      <c r="AE160" s="189"/>
      <c r="AF160" s="189"/>
      <c r="AG160" s="189"/>
      <c r="AH160" s="189"/>
      <c r="AI160" s="189"/>
      <c r="AJ160" s="189"/>
      <c r="AK160" s="189"/>
      <c r="AL160" s="189"/>
      <c r="AM160" s="189"/>
    </row>
    <row r="161" ht="15.75" customHeight="1">
      <c r="A161" s="189">
        <f t="shared" si="2"/>
        <v>153</v>
      </c>
      <c r="B161" s="190">
        <f t="shared" si="3"/>
        <v>223822.3018</v>
      </c>
      <c r="C161" s="190">
        <f t="shared" si="4"/>
        <v>1671.57082</v>
      </c>
      <c r="D161" s="190">
        <f t="shared" si="5"/>
        <v>1025.852217</v>
      </c>
      <c r="E161" s="190">
        <f t="shared" si="6"/>
        <v>645.7186033</v>
      </c>
      <c r="F161" s="190">
        <f t="shared" si="1"/>
        <v>223176.5832</v>
      </c>
      <c r="G161" s="191">
        <f t="shared" si="7"/>
        <v>218120.3095</v>
      </c>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c r="AD161" s="189"/>
      <c r="AE161" s="189"/>
      <c r="AF161" s="189"/>
      <c r="AG161" s="189"/>
      <c r="AH161" s="189"/>
      <c r="AI161" s="189"/>
      <c r="AJ161" s="189"/>
      <c r="AK161" s="189"/>
      <c r="AL161" s="189"/>
      <c r="AM161" s="189"/>
    </row>
    <row r="162" ht="15.75" customHeight="1">
      <c r="A162" s="189">
        <f t="shared" si="2"/>
        <v>154</v>
      </c>
      <c r="B162" s="190">
        <f t="shared" si="3"/>
        <v>223176.5832</v>
      </c>
      <c r="C162" s="190">
        <f t="shared" si="4"/>
        <v>1671.57082</v>
      </c>
      <c r="D162" s="190">
        <f t="shared" si="5"/>
        <v>1022.892673</v>
      </c>
      <c r="E162" s="190">
        <f t="shared" si="6"/>
        <v>648.6781469</v>
      </c>
      <c r="F162" s="190">
        <f t="shared" si="1"/>
        <v>222527.9051</v>
      </c>
      <c r="G162" s="191">
        <f t="shared" si="7"/>
        <v>218658.2531</v>
      </c>
      <c r="H162" s="189"/>
      <c r="I162" s="189"/>
      <c r="J162" s="189"/>
      <c r="K162" s="189"/>
      <c r="L162" s="189"/>
      <c r="M162" s="189"/>
      <c r="N162" s="189"/>
      <c r="O162" s="189"/>
      <c r="P162" s="189"/>
      <c r="Q162" s="189"/>
      <c r="R162" s="189"/>
      <c r="S162" s="189"/>
      <c r="T162" s="189"/>
      <c r="U162" s="189"/>
      <c r="V162" s="189"/>
      <c r="W162" s="189"/>
      <c r="X162" s="189"/>
      <c r="Y162" s="189"/>
      <c r="Z162" s="189"/>
      <c r="AA162" s="189"/>
      <c r="AB162" s="189"/>
      <c r="AC162" s="189"/>
      <c r="AD162" s="189"/>
      <c r="AE162" s="189"/>
      <c r="AF162" s="189"/>
      <c r="AG162" s="189"/>
      <c r="AH162" s="189"/>
      <c r="AI162" s="189"/>
      <c r="AJ162" s="189"/>
      <c r="AK162" s="189"/>
      <c r="AL162" s="189"/>
      <c r="AM162" s="189"/>
    </row>
    <row r="163" ht="15.75" customHeight="1">
      <c r="A163" s="189">
        <f t="shared" si="2"/>
        <v>155</v>
      </c>
      <c r="B163" s="190">
        <f t="shared" si="3"/>
        <v>222527.9051</v>
      </c>
      <c r="C163" s="190">
        <f t="shared" si="4"/>
        <v>1671.57082</v>
      </c>
      <c r="D163" s="190">
        <f t="shared" si="5"/>
        <v>1019.919565</v>
      </c>
      <c r="E163" s="190">
        <f t="shared" si="6"/>
        <v>651.6512551</v>
      </c>
      <c r="F163" s="190">
        <f t="shared" si="1"/>
        <v>221876.2538</v>
      </c>
      <c r="G163" s="191">
        <f t="shared" si="7"/>
        <v>219197.5233</v>
      </c>
      <c r="H163" s="189"/>
      <c r="I163" s="189"/>
      <c r="J163" s="189"/>
      <c r="K163" s="189"/>
      <c r="L163" s="189"/>
      <c r="M163" s="189"/>
      <c r="N163" s="189"/>
      <c r="O163" s="189"/>
      <c r="P163" s="189"/>
      <c r="Q163" s="189"/>
      <c r="R163" s="189"/>
      <c r="S163" s="189"/>
      <c r="T163" s="189"/>
      <c r="U163" s="189"/>
      <c r="V163" s="189"/>
      <c r="W163" s="189"/>
      <c r="X163" s="189"/>
      <c r="Y163" s="189"/>
      <c r="Z163" s="189"/>
      <c r="AA163" s="189"/>
      <c r="AB163" s="189"/>
      <c r="AC163" s="189"/>
      <c r="AD163" s="189"/>
      <c r="AE163" s="189"/>
      <c r="AF163" s="189"/>
      <c r="AG163" s="189"/>
      <c r="AH163" s="189"/>
      <c r="AI163" s="189"/>
      <c r="AJ163" s="189"/>
      <c r="AK163" s="189"/>
      <c r="AL163" s="189"/>
      <c r="AM163" s="189"/>
    </row>
    <row r="164" ht="15.75" customHeight="1">
      <c r="A164" s="189">
        <f t="shared" si="2"/>
        <v>156</v>
      </c>
      <c r="B164" s="190">
        <f t="shared" si="3"/>
        <v>221876.2538</v>
      </c>
      <c r="C164" s="190">
        <f t="shared" si="4"/>
        <v>1671.57082</v>
      </c>
      <c r="D164" s="190">
        <f t="shared" si="5"/>
        <v>1016.93283</v>
      </c>
      <c r="E164" s="190">
        <f t="shared" si="6"/>
        <v>654.63799</v>
      </c>
      <c r="F164" s="190">
        <f t="shared" si="1"/>
        <v>221221.6158</v>
      </c>
      <c r="G164" s="191">
        <f t="shared" si="7"/>
        <v>219738.1235</v>
      </c>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9"/>
    </row>
    <row r="165" ht="15.75" customHeight="1">
      <c r="A165" s="189">
        <f t="shared" si="2"/>
        <v>157</v>
      </c>
      <c r="B165" s="190">
        <f t="shared" si="3"/>
        <v>221221.6158</v>
      </c>
      <c r="C165" s="190">
        <f t="shared" si="4"/>
        <v>1671.57082</v>
      </c>
      <c r="D165" s="190">
        <f t="shared" si="5"/>
        <v>1013.932406</v>
      </c>
      <c r="E165" s="190">
        <f t="shared" si="6"/>
        <v>657.6384141</v>
      </c>
      <c r="F165" s="190">
        <f t="shared" si="1"/>
        <v>220563.9774</v>
      </c>
      <c r="G165" s="191">
        <f t="shared" si="7"/>
        <v>220280.057</v>
      </c>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row>
    <row r="166" ht="15.75" customHeight="1">
      <c r="A166" s="189">
        <f t="shared" si="2"/>
        <v>158</v>
      </c>
      <c r="B166" s="190">
        <f t="shared" si="3"/>
        <v>220563.9774</v>
      </c>
      <c r="C166" s="190">
        <f t="shared" si="4"/>
        <v>1671.57082</v>
      </c>
      <c r="D166" s="190">
        <f t="shared" si="5"/>
        <v>1010.91823</v>
      </c>
      <c r="E166" s="190">
        <f t="shared" si="6"/>
        <v>660.6525902</v>
      </c>
      <c r="F166" s="190">
        <f t="shared" si="1"/>
        <v>219903.3248</v>
      </c>
      <c r="G166" s="191">
        <f t="shared" si="7"/>
        <v>220823.3271</v>
      </c>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89"/>
      <c r="AK166" s="189"/>
      <c r="AL166" s="189"/>
      <c r="AM166" s="189"/>
    </row>
    <row r="167" ht="15.75" customHeight="1">
      <c r="A167" s="189">
        <f t="shared" si="2"/>
        <v>159</v>
      </c>
      <c r="B167" s="190">
        <f t="shared" si="3"/>
        <v>219903.3248</v>
      </c>
      <c r="C167" s="190">
        <f t="shared" si="4"/>
        <v>1671.57082</v>
      </c>
      <c r="D167" s="190">
        <f t="shared" si="5"/>
        <v>1007.890239</v>
      </c>
      <c r="E167" s="190">
        <f t="shared" si="6"/>
        <v>663.6805812</v>
      </c>
      <c r="F167" s="190">
        <f t="shared" si="1"/>
        <v>219239.6442</v>
      </c>
      <c r="G167" s="191">
        <f t="shared" si="7"/>
        <v>221367.937</v>
      </c>
      <c r="H167" s="189"/>
      <c r="I167" s="189"/>
      <c r="J167" s="189"/>
      <c r="K167" s="189"/>
      <c r="L167" s="189"/>
      <c r="M167" s="189"/>
      <c r="N167" s="189"/>
      <c r="O167" s="189"/>
      <c r="P167" s="189"/>
      <c r="Q167" s="189"/>
      <c r="R167" s="189"/>
      <c r="S167" s="189"/>
      <c r="T167" s="189"/>
      <c r="U167" s="189"/>
      <c r="V167" s="189"/>
      <c r="W167" s="189"/>
      <c r="X167" s="189"/>
      <c r="Y167" s="189"/>
      <c r="Z167" s="189"/>
      <c r="AA167" s="189"/>
      <c r="AB167" s="189"/>
      <c r="AC167" s="189"/>
      <c r="AD167" s="189"/>
      <c r="AE167" s="189"/>
      <c r="AF167" s="189"/>
      <c r="AG167" s="189"/>
      <c r="AH167" s="189"/>
      <c r="AI167" s="189"/>
      <c r="AJ167" s="189"/>
      <c r="AK167" s="189"/>
      <c r="AL167" s="189"/>
      <c r="AM167" s="189"/>
    </row>
    <row r="168" ht="15.75" customHeight="1">
      <c r="A168" s="189">
        <f t="shared" si="2"/>
        <v>160</v>
      </c>
      <c r="B168" s="190">
        <f t="shared" si="3"/>
        <v>219239.6442</v>
      </c>
      <c r="C168" s="190">
        <f t="shared" si="4"/>
        <v>1671.57082</v>
      </c>
      <c r="D168" s="190">
        <f t="shared" si="5"/>
        <v>1004.848369</v>
      </c>
      <c r="E168" s="190">
        <f t="shared" si="6"/>
        <v>666.7224506</v>
      </c>
      <c r="F168" s="190">
        <f t="shared" si="1"/>
        <v>218572.9218</v>
      </c>
      <c r="G168" s="191">
        <f t="shared" si="7"/>
        <v>221913.89</v>
      </c>
      <c r="H168" s="189"/>
      <c r="I168" s="189"/>
      <c r="J168" s="189"/>
      <c r="K168" s="189"/>
      <c r="L168" s="189"/>
      <c r="M168" s="189"/>
      <c r="N168" s="189"/>
      <c r="O168" s="189"/>
      <c r="P168" s="189"/>
      <c r="Q168" s="189"/>
      <c r="R168" s="189"/>
      <c r="S168" s="189"/>
      <c r="T168" s="189"/>
      <c r="U168" s="189"/>
      <c r="V168" s="189"/>
      <c r="W168" s="189"/>
      <c r="X168" s="189"/>
      <c r="Y168" s="189"/>
      <c r="Z168" s="189"/>
      <c r="AA168" s="189"/>
      <c r="AB168" s="189"/>
      <c r="AC168" s="189"/>
      <c r="AD168" s="189"/>
      <c r="AE168" s="189"/>
      <c r="AF168" s="189"/>
      <c r="AG168" s="189"/>
      <c r="AH168" s="189"/>
      <c r="AI168" s="189"/>
      <c r="AJ168" s="189"/>
      <c r="AK168" s="189"/>
      <c r="AL168" s="189"/>
      <c r="AM168" s="189"/>
    </row>
    <row r="169" ht="15.75" customHeight="1">
      <c r="A169" s="189">
        <f t="shared" si="2"/>
        <v>161</v>
      </c>
      <c r="B169" s="190">
        <f t="shared" si="3"/>
        <v>218572.9218</v>
      </c>
      <c r="C169" s="190">
        <f t="shared" si="4"/>
        <v>1671.57082</v>
      </c>
      <c r="D169" s="190">
        <f t="shared" si="5"/>
        <v>1001.792558</v>
      </c>
      <c r="E169" s="190">
        <f t="shared" si="6"/>
        <v>669.7782618</v>
      </c>
      <c r="F169" s="190">
        <f t="shared" si="1"/>
        <v>217903.1435</v>
      </c>
      <c r="G169" s="191">
        <f t="shared" si="7"/>
        <v>222461.1895</v>
      </c>
      <c r="H169" s="189"/>
      <c r="I169" s="189"/>
      <c r="J169" s="189"/>
      <c r="K169" s="189"/>
      <c r="L169" s="189"/>
      <c r="M169" s="189"/>
      <c r="N169" s="189"/>
      <c r="O169" s="189"/>
      <c r="P169" s="189"/>
      <c r="Q169" s="189"/>
      <c r="R169" s="189"/>
      <c r="S169" s="189"/>
      <c r="T169" s="189"/>
      <c r="U169" s="189"/>
      <c r="V169" s="189"/>
      <c r="W169" s="189"/>
      <c r="X169" s="189"/>
      <c r="Y169" s="189"/>
      <c r="Z169" s="189"/>
      <c r="AA169" s="189"/>
      <c r="AB169" s="189"/>
      <c r="AC169" s="189"/>
      <c r="AD169" s="189"/>
      <c r="AE169" s="189"/>
      <c r="AF169" s="189"/>
      <c r="AG169" s="189"/>
      <c r="AH169" s="189"/>
      <c r="AI169" s="189"/>
      <c r="AJ169" s="189"/>
      <c r="AK169" s="189"/>
      <c r="AL169" s="189"/>
      <c r="AM169" s="189"/>
    </row>
    <row r="170" ht="15.75" customHeight="1">
      <c r="A170" s="189">
        <f t="shared" si="2"/>
        <v>162</v>
      </c>
      <c r="B170" s="190">
        <f t="shared" si="3"/>
        <v>217903.1435</v>
      </c>
      <c r="C170" s="190">
        <f t="shared" si="4"/>
        <v>1671.57082</v>
      </c>
      <c r="D170" s="190">
        <f t="shared" si="5"/>
        <v>998.7227411</v>
      </c>
      <c r="E170" s="190">
        <f t="shared" si="6"/>
        <v>672.8480788</v>
      </c>
      <c r="F170" s="190">
        <f t="shared" si="1"/>
        <v>217230.2954</v>
      </c>
      <c r="G170" s="191">
        <f t="shared" si="7"/>
        <v>223009.8388</v>
      </c>
      <c r="H170" s="189"/>
      <c r="I170" s="189"/>
      <c r="J170" s="189"/>
      <c r="K170" s="189"/>
      <c r="L170" s="189"/>
      <c r="M170" s="189"/>
      <c r="N170" s="189"/>
      <c r="O170" s="189"/>
      <c r="P170" s="189"/>
      <c r="Q170" s="189"/>
      <c r="R170" s="189"/>
      <c r="S170" s="189"/>
      <c r="T170" s="189"/>
      <c r="U170" s="189"/>
      <c r="V170" s="189"/>
      <c r="W170" s="189"/>
      <c r="X170" s="189"/>
      <c r="Y170" s="189"/>
      <c r="Z170" s="189"/>
      <c r="AA170" s="189"/>
      <c r="AB170" s="189"/>
      <c r="AC170" s="189"/>
      <c r="AD170" s="189"/>
      <c r="AE170" s="189"/>
      <c r="AF170" s="189"/>
      <c r="AG170" s="189"/>
      <c r="AH170" s="189"/>
      <c r="AI170" s="189"/>
      <c r="AJ170" s="189"/>
      <c r="AK170" s="189"/>
      <c r="AL170" s="189"/>
      <c r="AM170" s="189"/>
    </row>
    <row r="171" ht="15.75" customHeight="1">
      <c r="A171" s="189">
        <f t="shared" si="2"/>
        <v>163</v>
      </c>
      <c r="B171" s="190">
        <f t="shared" si="3"/>
        <v>217230.2954</v>
      </c>
      <c r="C171" s="190">
        <f t="shared" si="4"/>
        <v>1671.57082</v>
      </c>
      <c r="D171" s="190">
        <f t="shared" si="5"/>
        <v>995.6388541</v>
      </c>
      <c r="E171" s="190">
        <f t="shared" si="6"/>
        <v>675.9319658</v>
      </c>
      <c r="F171" s="190">
        <f t="shared" si="1"/>
        <v>216554.3635</v>
      </c>
      <c r="G171" s="191">
        <f t="shared" si="7"/>
        <v>223559.8413</v>
      </c>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row>
    <row r="172" ht="15.75" customHeight="1">
      <c r="A172" s="189">
        <f t="shared" si="2"/>
        <v>164</v>
      </c>
      <c r="B172" s="190">
        <f t="shared" si="3"/>
        <v>216554.3635</v>
      </c>
      <c r="C172" s="190">
        <f t="shared" si="4"/>
        <v>1671.57082</v>
      </c>
      <c r="D172" s="190">
        <f t="shared" si="5"/>
        <v>992.5408326</v>
      </c>
      <c r="E172" s="190">
        <f t="shared" si="6"/>
        <v>679.0299874</v>
      </c>
      <c r="F172" s="190">
        <f t="shared" si="1"/>
        <v>215875.3335</v>
      </c>
      <c r="G172" s="191">
        <f t="shared" si="7"/>
        <v>224111.2001</v>
      </c>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89"/>
      <c r="AD172" s="189"/>
      <c r="AE172" s="189"/>
      <c r="AF172" s="189"/>
      <c r="AG172" s="189"/>
      <c r="AH172" s="189"/>
      <c r="AI172" s="189"/>
      <c r="AJ172" s="189"/>
      <c r="AK172" s="189"/>
      <c r="AL172" s="189"/>
      <c r="AM172" s="189"/>
    </row>
    <row r="173" ht="15.75" customHeight="1">
      <c r="A173" s="189">
        <f t="shared" si="2"/>
        <v>165</v>
      </c>
      <c r="B173" s="190">
        <f t="shared" si="3"/>
        <v>215875.3335</v>
      </c>
      <c r="C173" s="190">
        <f t="shared" si="4"/>
        <v>1671.57082</v>
      </c>
      <c r="D173" s="190">
        <f t="shared" si="5"/>
        <v>989.4286118</v>
      </c>
      <c r="E173" s="190">
        <f t="shared" si="6"/>
        <v>682.1422081</v>
      </c>
      <c r="F173" s="190">
        <f t="shared" si="1"/>
        <v>215193.1913</v>
      </c>
      <c r="G173" s="191">
        <f t="shared" si="7"/>
        <v>224663.9188</v>
      </c>
      <c r="H173" s="189"/>
      <c r="I173" s="189"/>
      <c r="J173" s="189"/>
      <c r="K173" s="189"/>
      <c r="L173" s="189"/>
      <c r="M173" s="189"/>
      <c r="N173" s="189"/>
      <c r="O173" s="189"/>
      <c r="P173" s="189"/>
      <c r="Q173" s="189"/>
      <c r="R173" s="189"/>
      <c r="S173" s="189"/>
      <c r="T173" s="189"/>
      <c r="U173" s="189"/>
      <c r="V173" s="189"/>
      <c r="W173" s="189"/>
      <c r="X173" s="189"/>
      <c r="Y173" s="189"/>
      <c r="Z173" s="189"/>
      <c r="AA173" s="189"/>
      <c r="AB173" s="189"/>
      <c r="AC173" s="189"/>
      <c r="AD173" s="189"/>
      <c r="AE173" s="189"/>
      <c r="AF173" s="189"/>
      <c r="AG173" s="189"/>
      <c r="AH173" s="189"/>
      <c r="AI173" s="189"/>
      <c r="AJ173" s="189"/>
      <c r="AK173" s="189"/>
      <c r="AL173" s="189"/>
      <c r="AM173" s="189"/>
    </row>
    <row r="174" ht="15.75" customHeight="1">
      <c r="A174" s="189">
        <f t="shared" si="2"/>
        <v>166</v>
      </c>
      <c r="B174" s="190">
        <f t="shared" si="3"/>
        <v>215193.1913</v>
      </c>
      <c r="C174" s="190">
        <f t="shared" si="4"/>
        <v>1671.57082</v>
      </c>
      <c r="D174" s="190">
        <f t="shared" si="5"/>
        <v>986.3021267</v>
      </c>
      <c r="E174" s="190">
        <f t="shared" si="6"/>
        <v>685.2686932</v>
      </c>
      <c r="F174" s="190">
        <f t="shared" si="1"/>
        <v>214507.9226</v>
      </c>
      <c r="G174" s="191">
        <f t="shared" si="7"/>
        <v>225218.0007</v>
      </c>
      <c r="H174" s="189"/>
      <c r="I174" s="189"/>
      <c r="J174" s="189"/>
      <c r="K174" s="189"/>
      <c r="L174" s="189"/>
      <c r="M174" s="189"/>
      <c r="N174" s="189"/>
      <c r="O174" s="189"/>
      <c r="P174" s="189"/>
      <c r="Q174" s="189"/>
      <c r="R174" s="189"/>
      <c r="S174" s="189"/>
      <c r="T174" s="189"/>
      <c r="U174" s="189"/>
      <c r="V174" s="189"/>
      <c r="W174" s="189"/>
      <c r="X174" s="189"/>
      <c r="Y174" s="189"/>
      <c r="Z174" s="189"/>
      <c r="AA174" s="189"/>
      <c r="AB174" s="189"/>
      <c r="AC174" s="189"/>
      <c r="AD174" s="189"/>
      <c r="AE174" s="189"/>
      <c r="AF174" s="189"/>
      <c r="AG174" s="189"/>
      <c r="AH174" s="189"/>
      <c r="AI174" s="189"/>
      <c r="AJ174" s="189"/>
      <c r="AK174" s="189"/>
      <c r="AL174" s="189"/>
      <c r="AM174" s="189"/>
    </row>
    <row r="175" ht="15.75" customHeight="1">
      <c r="A175" s="189">
        <f t="shared" si="2"/>
        <v>167</v>
      </c>
      <c r="B175" s="190">
        <f t="shared" si="3"/>
        <v>214507.9226</v>
      </c>
      <c r="C175" s="190">
        <f t="shared" si="4"/>
        <v>1671.57082</v>
      </c>
      <c r="D175" s="190">
        <f t="shared" si="5"/>
        <v>983.1613119</v>
      </c>
      <c r="E175" s="190">
        <f t="shared" si="6"/>
        <v>688.4095081</v>
      </c>
      <c r="F175" s="190">
        <f t="shared" si="1"/>
        <v>213819.5131</v>
      </c>
      <c r="G175" s="191">
        <f t="shared" si="7"/>
        <v>225773.449</v>
      </c>
      <c r="H175" s="189"/>
      <c r="I175" s="189"/>
      <c r="J175" s="189"/>
      <c r="K175" s="189"/>
      <c r="L175" s="189"/>
      <c r="M175" s="189"/>
      <c r="N175" s="189"/>
      <c r="O175" s="189"/>
      <c r="P175" s="189"/>
      <c r="Q175" s="189"/>
      <c r="R175" s="189"/>
      <c r="S175" s="189"/>
      <c r="T175" s="189"/>
      <c r="U175" s="189"/>
      <c r="V175" s="189"/>
      <c r="W175" s="189"/>
      <c r="X175" s="189"/>
      <c r="Y175" s="189"/>
      <c r="Z175" s="189"/>
      <c r="AA175" s="189"/>
      <c r="AB175" s="189"/>
      <c r="AC175" s="189"/>
      <c r="AD175" s="189"/>
      <c r="AE175" s="189"/>
      <c r="AF175" s="189"/>
      <c r="AG175" s="189"/>
      <c r="AH175" s="189"/>
      <c r="AI175" s="189"/>
      <c r="AJ175" s="189"/>
      <c r="AK175" s="189"/>
      <c r="AL175" s="189"/>
      <c r="AM175" s="189"/>
    </row>
    <row r="176" ht="15.75" customHeight="1">
      <c r="A176" s="189">
        <f t="shared" si="2"/>
        <v>168</v>
      </c>
      <c r="B176" s="190">
        <f t="shared" si="3"/>
        <v>213819.5131</v>
      </c>
      <c r="C176" s="190">
        <f t="shared" si="4"/>
        <v>1671.57082</v>
      </c>
      <c r="D176" s="190">
        <f t="shared" si="5"/>
        <v>980.0061016</v>
      </c>
      <c r="E176" s="190">
        <f t="shared" si="6"/>
        <v>691.5647183</v>
      </c>
      <c r="F176" s="190">
        <f t="shared" si="1"/>
        <v>213127.9484</v>
      </c>
      <c r="G176" s="191">
        <f t="shared" si="7"/>
        <v>226330.2672</v>
      </c>
      <c r="H176" s="189"/>
      <c r="I176" s="189"/>
      <c r="J176" s="189"/>
      <c r="K176" s="189"/>
      <c r="L176" s="189"/>
      <c r="M176" s="189"/>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c r="AJ176" s="189"/>
      <c r="AK176" s="189"/>
      <c r="AL176" s="189"/>
      <c r="AM176" s="189"/>
    </row>
    <row r="177" ht="15.75" customHeight="1">
      <c r="A177" s="189">
        <f t="shared" si="2"/>
        <v>169</v>
      </c>
      <c r="B177" s="190">
        <f t="shared" si="3"/>
        <v>213127.9484</v>
      </c>
      <c r="C177" s="190">
        <f t="shared" si="4"/>
        <v>1671.57082</v>
      </c>
      <c r="D177" s="190">
        <f t="shared" si="5"/>
        <v>976.83643</v>
      </c>
      <c r="E177" s="190">
        <f t="shared" si="6"/>
        <v>694.73439</v>
      </c>
      <c r="F177" s="190">
        <f t="shared" si="1"/>
        <v>212433.214</v>
      </c>
      <c r="G177" s="191">
        <f t="shared" si="7"/>
        <v>226888.4587</v>
      </c>
      <c r="H177" s="189"/>
      <c r="I177" s="189"/>
      <c r="J177" s="189"/>
      <c r="K177" s="189"/>
      <c r="L177" s="189"/>
      <c r="M177" s="189"/>
      <c r="N177" s="189"/>
      <c r="O177" s="189"/>
      <c r="P177" s="189"/>
      <c r="Q177" s="189"/>
      <c r="R177" s="189"/>
      <c r="S177" s="189"/>
      <c r="T177" s="189"/>
      <c r="U177" s="189"/>
      <c r="V177" s="189"/>
      <c r="W177" s="189"/>
      <c r="X177" s="189"/>
      <c r="Y177" s="189"/>
      <c r="Z177" s="189"/>
      <c r="AA177" s="189"/>
      <c r="AB177" s="189"/>
      <c r="AC177" s="189"/>
      <c r="AD177" s="189"/>
      <c r="AE177" s="189"/>
      <c r="AF177" s="189"/>
      <c r="AG177" s="189"/>
      <c r="AH177" s="189"/>
      <c r="AI177" s="189"/>
      <c r="AJ177" s="189"/>
      <c r="AK177" s="189"/>
      <c r="AL177" s="189"/>
      <c r="AM177" s="189"/>
    </row>
    <row r="178" ht="15.75" customHeight="1">
      <c r="A178" s="189">
        <f t="shared" si="2"/>
        <v>170</v>
      </c>
      <c r="B178" s="190">
        <f t="shared" si="3"/>
        <v>212433.214</v>
      </c>
      <c r="C178" s="190">
        <f t="shared" si="4"/>
        <v>1671.57082</v>
      </c>
      <c r="D178" s="190">
        <f t="shared" si="5"/>
        <v>973.6522307</v>
      </c>
      <c r="E178" s="190">
        <f t="shared" si="6"/>
        <v>697.9185893</v>
      </c>
      <c r="F178" s="190">
        <f t="shared" si="1"/>
        <v>211735.2954</v>
      </c>
      <c r="G178" s="191">
        <f t="shared" si="7"/>
        <v>227448.0269</v>
      </c>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c r="AK178" s="189"/>
      <c r="AL178" s="189"/>
      <c r="AM178" s="189"/>
    </row>
    <row r="179" ht="15.75" customHeight="1">
      <c r="A179" s="189">
        <f t="shared" si="2"/>
        <v>171</v>
      </c>
      <c r="B179" s="190">
        <f t="shared" si="3"/>
        <v>211735.2954</v>
      </c>
      <c r="C179" s="190">
        <f t="shared" si="4"/>
        <v>1671.57082</v>
      </c>
      <c r="D179" s="190">
        <f t="shared" si="5"/>
        <v>970.4534372</v>
      </c>
      <c r="E179" s="190">
        <f t="shared" si="6"/>
        <v>701.1173828</v>
      </c>
      <c r="F179" s="190">
        <f t="shared" si="1"/>
        <v>211034.178</v>
      </c>
      <c r="G179" s="191">
        <f t="shared" si="7"/>
        <v>228008.9751</v>
      </c>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row>
    <row r="180" ht="15.75" customHeight="1">
      <c r="A180" s="189">
        <f t="shared" si="2"/>
        <v>172</v>
      </c>
      <c r="B180" s="190">
        <f t="shared" si="3"/>
        <v>211034.178</v>
      </c>
      <c r="C180" s="190">
        <f t="shared" si="4"/>
        <v>1671.57082</v>
      </c>
      <c r="D180" s="190">
        <f t="shared" si="5"/>
        <v>967.2399825</v>
      </c>
      <c r="E180" s="190">
        <f t="shared" si="6"/>
        <v>704.3308375</v>
      </c>
      <c r="F180" s="190">
        <f t="shared" si="1"/>
        <v>210329.8472</v>
      </c>
      <c r="G180" s="191">
        <f t="shared" si="7"/>
        <v>228571.3067</v>
      </c>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c r="AK180" s="189"/>
      <c r="AL180" s="189"/>
      <c r="AM180" s="189"/>
    </row>
    <row r="181" ht="15.75" customHeight="1">
      <c r="A181" s="189">
        <f t="shared" si="2"/>
        <v>173</v>
      </c>
      <c r="B181" s="190">
        <f t="shared" si="3"/>
        <v>210329.8472</v>
      </c>
      <c r="C181" s="190">
        <f t="shared" si="4"/>
        <v>1671.57082</v>
      </c>
      <c r="D181" s="190">
        <f t="shared" si="5"/>
        <v>964.0117995</v>
      </c>
      <c r="E181" s="190">
        <f t="shared" si="6"/>
        <v>707.5590205</v>
      </c>
      <c r="F181" s="190">
        <f t="shared" si="1"/>
        <v>209622.2881</v>
      </c>
      <c r="G181" s="191">
        <f t="shared" si="7"/>
        <v>229135.0252</v>
      </c>
      <c r="H181" s="189"/>
      <c r="I181" s="189"/>
      <c r="J181" s="189"/>
      <c r="K181" s="189"/>
      <c r="L181" s="189"/>
      <c r="M181" s="189"/>
      <c r="N181" s="189"/>
      <c r="O181" s="189"/>
      <c r="P181" s="189"/>
      <c r="Q181" s="189"/>
      <c r="R181" s="189"/>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row>
    <row r="182" ht="15.75" customHeight="1">
      <c r="A182" s="189">
        <f t="shared" si="2"/>
        <v>174</v>
      </c>
      <c r="B182" s="190">
        <f t="shared" si="3"/>
        <v>209622.2881</v>
      </c>
      <c r="C182" s="190">
        <f t="shared" si="4"/>
        <v>1671.57082</v>
      </c>
      <c r="D182" s="190">
        <f t="shared" si="5"/>
        <v>960.7688207</v>
      </c>
      <c r="E182" s="190">
        <f t="shared" si="6"/>
        <v>710.8019993</v>
      </c>
      <c r="F182" s="190">
        <f t="shared" si="1"/>
        <v>208911.4861</v>
      </c>
      <c r="G182" s="191">
        <f t="shared" si="7"/>
        <v>229700.134</v>
      </c>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row>
    <row r="183" ht="15.75" customHeight="1">
      <c r="A183" s="189">
        <f t="shared" si="2"/>
        <v>175</v>
      </c>
      <c r="B183" s="190">
        <f t="shared" si="3"/>
        <v>208911.4861</v>
      </c>
      <c r="C183" s="190">
        <f t="shared" si="4"/>
        <v>1671.57082</v>
      </c>
      <c r="D183" s="190">
        <f t="shared" si="5"/>
        <v>957.5109782</v>
      </c>
      <c r="E183" s="190">
        <f t="shared" si="6"/>
        <v>714.0598418</v>
      </c>
      <c r="F183" s="190">
        <f t="shared" si="1"/>
        <v>208197.4263</v>
      </c>
      <c r="G183" s="191">
        <f t="shared" si="7"/>
        <v>230266.6365</v>
      </c>
      <c r="H183" s="189"/>
      <c r="I183" s="189"/>
      <c r="J183" s="189"/>
      <c r="K183" s="189"/>
      <c r="L183" s="189"/>
      <c r="M183" s="189"/>
      <c r="N183" s="189"/>
      <c r="O183" s="189"/>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row>
    <row r="184" ht="15.75" customHeight="1">
      <c r="A184" s="189">
        <f t="shared" si="2"/>
        <v>176</v>
      </c>
      <c r="B184" s="190">
        <f t="shared" si="3"/>
        <v>208197.4263</v>
      </c>
      <c r="C184" s="190">
        <f t="shared" si="4"/>
        <v>1671.57082</v>
      </c>
      <c r="D184" s="190">
        <f t="shared" si="5"/>
        <v>954.2382039</v>
      </c>
      <c r="E184" s="190">
        <f t="shared" si="6"/>
        <v>717.3326161</v>
      </c>
      <c r="F184" s="190">
        <f t="shared" si="1"/>
        <v>207480.0937</v>
      </c>
      <c r="G184" s="191">
        <f t="shared" si="7"/>
        <v>230834.5361</v>
      </c>
      <c r="H184" s="189"/>
      <c r="I184" s="189"/>
      <c r="J184" s="189"/>
      <c r="K184" s="189"/>
      <c r="L184" s="189"/>
      <c r="M184" s="189"/>
      <c r="N184" s="189"/>
      <c r="O184" s="189"/>
      <c r="P184" s="189"/>
      <c r="Q184" s="189"/>
      <c r="R184" s="189"/>
      <c r="S184" s="189"/>
      <c r="T184" s="189"/>
      <c r="U184" s="189"/>
      <c r="V184" s="189"/>
      <c r="W184" s="189"/>
      <c r="X184" s="189"/>
      <c r="Y184" s="189"/>
      <c r="Z184" s="189"/>
      <c r="AA184" s="189"/>
      <c r="AB184" s="189"/>
      <c r="AC184" s="189"/>
      <c r="AD184" s="189"/>
      <c r="AE184" s="189"/>
      <c r="AF184" s="189"/>
      <c r="AG184" s="189"/>
      <c r="AH184" s="189"/>
      <c r="AI184" s="189"/>
      <c r="AJ184" s="189"/>
      <c r="AK184" s="189"/>
      <c r="AL184" s="189"/>
      <c r="AM184" s="189"/>
    </row>
    <row r="185" ht="15.75" customHeight="1">
      <c r="A185" s="189">
        <f t="shared" si="2"/>
        <v>177</v>
      </c>
      <c r="B185" s="190">
        <f t="shared" si="3"/>
        <v>207480.0937</v>
      </c>
      <c r="C185" s="190">
        <f t="shared" si="4"/>
        <v>1671.57082</v>
      </c>
      <c r="D185" s="190">
        <f t="shared" si="5"/>
        <v>950.9504294</v>
      </c>
      <c r="E185" s="190">
        <f t="shared" si="6"/>
        <v>720.6203906</v>
      </c>
      <c r="F185" s="190">
        <f t="shared" si="1"/>
        <v>206759.4733</v>
      </c>
      <c r="G185" s="191">
        <f t="shared" si="7"/>
        <v>231403.8364</v>
      </c>
      <c r="H185" s="189"/>
      <c r="I185" s="189"/>
      <c r="J185" s="189"/>
      <c r="K185" s="189"/>
      <c r="L185" s="189"/>
      <c r="M185" s="189"/>
      <c r="N185" s="189"/>
      <c r="O185" s="189"/>
      <c r="P185" s="189"/>
      <c r="Q185" s="189"/>
      <c r="R185" s="189"/>
      <c r="S185" s="189"/>
      <c r="T185" s="189"/>
      <c r="U185" s="189"/>
      <c r="V185" s="189"/>
      <c r="W185" s="189"/>
      <c r="X185" s="189"/>
      <c r="Y185" s="189"/>
      <c r="Z185" s="189"/>
      <c r="AA185" s="189"/>
      <c r="AB185" s="189"/>
      <c r="AC185" s="189"/>
      <c r="AD185" s="189"/>
      <c r="AE185" s="189"/>
      <c r="AF185" s="189"/>
      <c r="AG185" s="189"/>
      <c r="AH185" s="189"/>
      <c r="AI185" s="189"/>
      <c r="AJ185" s="189"/>
      <c r="AK185" s="189"/>
      <c r="AL185" s="189"/>
      <c r="AM185" s="189"/>
    </row>
    <row r="186" ht="15.75" customHeight="1">
      <c r="A186" s="189">
        <f t="shared" si="2"/>
        <v>178</v>
      </c>
      <c r="B186" s="190">
        <f t="shared" si="3"/>
        <v>206759.4733</v>
      </c>
      <c r="C186" s="190">
        <f t="shared" si="4"/>
        <v>1671.57082</v>
      </c>
      <c r="D186" s="190">
        <f t="shared" si="5"/>
        <v>947.6475859</v>
      </c>
      <c r="E186" s="190">
        <f t="shared" si="6"/>
        <v>723.923234</v>
      </c>
      <c r="F186" s="190">
        <f t="shared" si="1"/>
        <v>206035.5501</v>
      </c>
      <c r="G186" s="191">
        <f t="shared" si="7"/>
        <v>231974.5407</v>
      </c>
      <c r="H186" s="189"/>
      <c r="I186" s="189"/>
      <c r="J186" s="189"/>
      <c r="K186" s="189"/>
      <c r="L186" s="189"/>
      <c r="M186" s="189"/>
      <c r="N186" s="189"/>
      <c r="O186" s="189"/>
      <c r="P186" s="189"/>
      <c r="Q186" s="189"/>
      <c r="R186" s="189"/>
      <c r="S186" s="189"/>
      <c r="T186" s="189"/>
      <c r="U186" s="189"/>
      <c r="V186" s="189"/>
      <c r="W186" s="189"/>
      <c r="X186" s="189"/>
      <c r="Y186" s="189"/>
      <c r="Z186" s="189"/>
      <c r="AA186" s="189"/>
      <c r="AB186" s="189"/>
      <c r="AC186" s="189"/>
      <c r="AD186" s="189"/>
      <c r="AE186" s="189"/>
      <c r="AF186" s="189"/>
      <c r="AG186" s="189"/>
      <c r="AH186" s="189"/>
      <c r="AI186" s="189"/>
      <c r="AJ186" s="189"/>
      <c r="AK186" s="189"/>
      <c r="AL186" s="189"/>
      <c r="AM186" s="189"/>
    </row>
    <row r="187" ht="15.75" customHeight="1">
      <c r="A187" s="189">
        <f t="shared" si="2"/>
        <v>179</v>
      </c>
      <c r="B187" s="190">
        <f t="shared" si="3"/>
        <v>206035.5501</v>
      </c>
      <c r="C187" s="190">
        <f t="shared" si="4"/>
        <v>1671.57082</v>
      </c>
      <c r="D187" s="190">
        <f t="shared" si="5"/>
        <v>944.3296045</v>
      </c>
      <c r="E187" s="190">
        <f t="shared" si="6"/>
        <v>727.2412155</v>
      </c>
      <c r="F187" s="190">
        <f t="shared" si="1"/>
        <v>205308.3088</v>
      </c>
      <c r="G187" s="191">
        <f t="shared" si="7"/>
        <v>232546.6525</v>
      </c>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row>
    <row r="188" ht="15.75" customHeight="1">
      <c r="A188" s="189">
        <f t="shared" si="2"/>
        <v>180</v>
      </c>
      <c r="B188" s="190">
        <f t="shared" si="3"/>
        <v>205308.3088</v>
      </c>
      <c r="C188" s="190">
        <f t="shared" si="4"/>
        <v>1671.57082</v>
      </c>
      <c r="D188" s="190">
        <f t="shared" si="5"/>
        <v>940.9964155</v>
      </c>
      <c r="E188" s="190">
        <f t="shared" si="6"/>
        <v>730.5744044</v>
      </c>
      <c r="F188" s="190">
        <f t="shared" si="1"/>
        <v>204577.7344</v>
      </c>
      <c r="G188" s="191">
        <f t="shared" si="7"/>
        <v>233120.1752</v>
      </c>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row>
    <row r="189" ht="15.75" customHeight="1">
      <c r="A189" s="189">
        <f t="shared" si="2"/>
        <v>181</v>
      </c>
      <c r="B189" s="190">
        <f t="shared" si="3"/>
        <v>204577.7344</v>
      </c>
      <c r="C189" s="190">
        <f t="shared" si="4"/>
        <v>1671.57082</v>
      </c>
      <c r="D189" s="190">
        <f t="shared" si="5"/>
        <v>937.6479495</v>
      </c>
      <c r="E189" s="190">
        <f t="shared" si="6"/>
        <v>733.9228704</v>
      </c>
      <c r="F189" s="190">
        <f t="shared" si="1"/>
        <v>203843.8116</v>
      </c>
      <c r="G189" s="191">
        <f t="shared" si="7"/>
        <v>233695.1125</v>
      </c>
      <c r="H189" s="189"/>
      <c r="I189" s="189"/>
      <c r="J189" s="189"/>
      <c r="K189" s="189"/>
      <c r="L189" s="189"/>
      <c r="M189" s="189"/>
      <c r="N189" s="189"/>
      <c r="O189" s="189"/>
      <c r="P189" s="189"/>
      <c r="Q189" s="189"/>
      <c r="R189" s="189"/>
      <c r="S189" s="189"/>
      <c r="T189" s="189"/>
      <c r="U189" s="189"/>
      <c r="V189" s="189"/>
      <c r="W189" s="189"/>
      <c r="X189" s="189"/>
      <c r="Y189" s="189"/>
      <c r="Z189" s="189"/>
      <c r="AA189" s="189"/>
      <c r="AB189" s="189"/>
      <c r="AC189" s="189"/>
      <c r="AD189" s="189"/>
      <c r="AE189" s="189"/>
      <c r="AF189" s="189"/>
      <c r="AG189" s="189"/>
      <c r="AH189" s="189"/>
      <c r="AI189" s="189"/>
      <c r="AJ189" s="189"/>
      <c r="AK189" s="189"/>
      <c r="AL189" s="189"/>
      <c r="AM189" s="189"/>
    </row>
    <row r="190" ht="15.75" customHeight="1">
      <c r="A190" s="189">
        <f t="shared" si="2"/>
        <v>182</v>
      </c>
      <c r="B190" s="190">
        <f t="shared" si="3"/>
        <v>203843.8116</v>
      </c>
      <c r="C190" s="190">
        <f t="shared" si="4"/>
        <v>1671.57082</v>
      </c>
      <c r="D190" s="190">
        <f t="shared" si="5"/>
        <v>934.2841364</v>
      </c>
      <c r="E190" s="190">
        <f t="shared" si="6"/>
        <v>737.2866836</v>
      </c>
      <c r="F190" s="190">
        <f t="shared" si="1"/>
        <v>203106.5249</v>
      </c>
      <c r="G190" s="191">
        <f t="shared" si="7"/>
        <v>234271.4677</v>
      </c>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row>
    <row r="191" ht="15.75" customHeight="1">
      <c r="A191" s="189">
        <f t="shared" si="2"/>
        <v>183</v>
      </c>
      <c r="B191" s="190">
        <f t="shared" si="3"/>
        <v>203106.5249</v>
      </c>
      <c r="C191" s="190">
        <f t="shared" si="4"/>
        <v>1671.57082</v>
      </c>
      <c r="D191" s="190">
        <f t="shared" si="5"/>
        <v>930.9049057</v>
      </c>
      <c r="E191" s="190">
        <f t="shared" si="6"/>
        <v>740.6659142</v>
      </c>
      <c r="F191" s="190">
        <f t="shared" si="1"/>
        <v>202365.859</v>
      </c>
      <c r="G191" s="191">
        <f t="shared" si="7"/>
        <v>234849.2443</v>
      </c>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row>
    <row r="192" ht="15.75" customHeight="1">
      <c r="A192" s="189">
        <f t="shared" si="2"/>
        <v>184</v>
      </c>
      <c r="B192" s="190">
        <f t="shared" si="3"/>
        <v>202365.859</v>
      </c>
      <c r="C192" s="190">
        <f t="shared" si="4"/>
        <v>1671.57082</v>
      </c>
      <c r="D192" s="190">
        <f t="shared" si="5"/>
        <v>927.510187</v>
      </c>
      <c r="E192" s="190">
        <f t="shared" si="6"/>
        <v>744.060633</v>
      </c>
      <c r="F192" s="190">
        <f t="shared" si="1"/>
        <v>201621.7983</v>
      </c>
      <c r="G192" s="191">
        <f t="shared" si="7"/>
        <v>235428.4459</v>
      </c>
      <c r="H192" s="189"/>
      <c r="I192" s="189"/>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row>
    <row r="193" ht="15.75" customHeight="1">
      <c r="A193" s="189">
        <f t="shared" si="2"/>
        <v>185</v>
      </c>
      <c r="B193" s="190">
        <f t="shared" si="3"/>
        <v>201621.7983</v>
      </c>
      <c r="C193" s="190">
        <f t="shared" si="4"/>
        <v>1671.57082</v>
      </c>
      <c r="D193" s="190">
        <f t="shared" si="5"/>
        <v>924.0999091</v>
      </c>
      <c r="E193" s="190">
        <f t="shared" si="6"/>
        <v>747.4709109</v>
      </c>
      <c r="F193" s="190">
        <f t="shared" si="1"/>
        <v>200874.3274</v>
      </c>
      <c r="G193" s="191">
        <f t="shared" si="7"/>
        <v>236009.076</v>
      </c>
      <c r="H193" s="189"/>
      <c r="I193" s="189"/>
      <c r="J193" s="189"/>
      <c r="K193" s="189"/>
      <c r="L193" s="189"/>
      <c r="M193" s="189"/>
      <c r="N193" s="189"/>
      <c r="O193" s="189"/>
      <c r="P193" s="189"/>
      <c r="Q193" s="189"/>
      <c r="R193" s="189"/>
      <c r="S193" s="189"/>
      <c r="T193" s="189"/>
      <c r="U193" s="189"/>
      <c r="V193" s="189"/>
      <c r="W193" s="189"/>
      <c r="X193" s="189"/>
      <c r="Y193" s="189"/>
      <c r="Z193" s="189"/>
      <c r="AA193" s="189"/>
      <c r="AB193" s="189"/>
      <c r="AC193" s="189"/>
      <c r="AD193" s="189"/>
      <c r="AE193" s="189"/>
      <c r="AF193" s="189"/>
      <c r="AG193" s="189"/>
      <c r="AH193" s="189"/>
      <c r="AI193" s="189"/>
      <c r="AJ193" s="189"/>
      <c r="AK193" s="189"/>
      <c r="AL193" s="189"/>
      <c r="AM193" s="189"/>
    </row>
    <row r="194" ht="15.75" customHeight="1">
      <c r="A194" s="189">
        <f t="shared" si="2"/>
        <v>186</v>
      </c>
      <c r="B194" s="190">
        <f t="shared" si="3"/>
        <v>200874.3274</v>
      </c>
      <c r="C194" s="190">
        <f t="shared" si="4"/>
        <v>1671.57082</v>
      </c>
      <c r="D194" s="190">
        <f t="shared" si="5"/>
        <v>920.6740007</v>
      </c>
      <c r="E194" s="190">
        <f t="shared" si="6"/>
        <v>750.8968192</v>
      </c>
      <c r="F194" s="190">
        <f t="shared" si="1"/>
        <v>200123.4306</v>
      </c>
      <c r="G194" s="191">
        <f t="shared" si="7"/>
        <v>236591.138</v>
      </c>
      <c r="H194" s="189"/>
      <c r="I194" s="189"/>
      <c r="J194" s="189"/>
      <c r="K194" s="189"/>
      <c r="L194" s="189"/>
      <c r="M194" s="189"/>
      <c r="N194" s="189"/>
      <c r="O194" s="189"/>
      <c r="P194" s="189"/>
      <c r="Q194" s="189"/>
      <c r="R194" s="189"/>
      <c r="S194" s="189"/>
      <c r="T194" s="189"/>
      <c r="U194" s="189"/>
      <c r="V194" s="189"/>
      <c r="W194" s="189"/>
      <c r="X194" s="189"/>
      <c r="Y194" s="189"/>
      <c r="Z194" s="189"/>
      <c r="AA194" s="189"/>
      <c r="AB194" s="189"/>
      <c r="AC194" s="189"/>
      <c r="AD194" s="189"/>
      <c r="AE194" s="189"/>
      <c r="AF194" s="189"/>
      <c r="AG194" s="189"/>
      <c r="AH194" s="189"/>
      <c r="AI194" s="189"/>
      <c r="AJ194" s="189"/>
      <c r="AK194" s="189"/>
      <c r="AL194" s="189"/>
      <c r="AM194" s="189"/>
    </row>
    <row r="195" ht="15.75" customHeight="1">
      <c r="A195" s="189">
        <f t="shared" si="2"/>
        <v>187</v>
      </c>
      <c r="B195" s="190">
        <f t="shared" si="3"/>
        <v>200123.4306</v>
      </c>
      <c r="C195" s="190">
        <f t="shared" si="4"/>
        <v>1671.57082</v>
      </c>
      <c r="D195" s="190">
        <f t="shared" si="5"/>
        <v>917.2323903</v>
      </c>
      <c r="E195" s="190">
        <f t="shared" si="6"/>
        <v>754.3384297</v>
      </c>
      <c r="F195" s="190">
        <f t="shared" si="1"/>
        <v>199369.0922</v>
      </c>
      <c r="G195" s="191">
        <f t="shared" si="7"/>
        <v>237174.6356</v>
      </c>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89"/>
      <c r="AM195" s="189"/>
    </row>
    <row r="196" ht="15.75" customHeight="1">
      <c r="A196" s="189">
        <f t="shared" si="2"/>
        <v>188</v>
      </c>
      <c r="B196" s="190">
        <f t="shared" si="3"/>
        <v>199369.0922</v>
      </c>
      <c r="C196" s="190">
        <f t="shared" si="4"/>
        <v>1671.57082</v>
      </c>
      <c r="D196" s="190">
        <f t="shared" si="5"/>
        <v>913.7750058</v>
      </c>
      <c r="E196" s="190">
        <f t="shared" si="6"/>
        <v>757.7958141</v>
      </c>
      <c r="F196" s="190">
        <f t="shared" si="1"/>
        <v>198611.2964</v>
      </c>
      <c r="G196" s="191">
        <f t="shared" si="7"/>
        <v>237759.5722</v>
      </c>
      <c r="H196" s="189"/>
      <c r="I196" s="189"/>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c r="AL196" s="189"/>
      <c r="AM196" s="189"/>
    </row>
    <row r="197" ht="15.75" customHeight="1">
      <c r="A197" s="189">
        <f t="shared" si="2"/>
        <v>189</v>
      </c>
      <c r="B197" s="190">
        <f t="shared" si="3"/>
        <v>198611.2964</v>
      </c>
      <c r="C197" s="190">
        <f t="shared" si="4"/>
        <v>1671.57082</v>
      </c>
      <c r="D197" s="190">
        <f t="shared" si="5"/>
        <v>910.301775</v>
      </c>
      <c r="E197" s="190">
        <f t="shared" si="6"/>
        <v>761.269045</v>
      </c>
      <c r="F197" s="190">
        <f t="shared" si="1"/>
        <v>197850.0273</v>
      </c>
      <c r="G197" s="191">
        <f t="shared" si="7"/>
        <v>238345.9515</v>
      </c>
      <c r="H197" s="189"/>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89"/>
      <c r="AM197" s="189"/>
    </row>
    <row r="198" ht="15.75" customHeight="1">
      <c r="A198" s="189">
        <f t="shared" si="2"/>
        <v>190</v>
      </c>
      <c r="B198" s="190">
        <f t="shared" si="3"/>
        <v>197850.0273</v>
      </c>
      <c r="C198" s="190">
        <f t="shared" si="4"/>
        <v>1671.57082</v>
      </c>
      <c r="D198" s="190">
        <f t="shared" si="5"/>
        <v>906.8126252</v>
      </c>
      <c r="E198" s="190">
        <f t="shared" si="6"/>
        <v>764.7581947</v>
      </c>
      <c r="F198" s="190">
        <f t="shared" si="1"/>
        <v>197085.2691</v>
      </c>
      <c r="G198" s="191">
        <f t="shared" si="7"/>
        <v>238933.7769</v>
      </c>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row>
    <row r="199" ht="15.75" customHeight="1">
      <c r="A199" s="189">
        <f t="shared" si="2"/>
        <v>191</v>
      </c>
      <c r="B199" s="190">
        <f t="shared" si="3"/>
        <v>197085.2691</v>
      </c>
      <c r="C199" s="190">
        <f t="shared" si="4"/>
        <v>1671.57082</v>
      </c>
      <c r="D199" s="190">
        <f t="shared" si="5"/>
        <v>903.3074835</v>
      </c>
      <c r="E199" s="190">
        <f t="shared" si="6"/>
        <v>768.2633365</v>
      </c>
      <c r="F199" s="190">
        <f t="shared" si="1"/>
        <v>196317.0058</v>
      </c>
      <c r="G199" s="191">
        <f t="shared" si="7"/>
        <v>239523.052</v>
      </c>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89"/>
      <c r="AM199" s="189"/>
    </row>
    <row r="200" ht="15.75" customHeight="1">
      <c r="A200" s="189">
        <f t="shared" si="2"/>
        <v>192</v>
      </c>
      <c r="B200" s="190">
        <f t="shared" si="3"/>
        <v>196317.0058</v>
      </c>
      <c r="C200" s="190">
        <f t="shared" si="4"/>
        <v>1671.57082</v>
      </c>
      <c r="D200" s="190">
        <f t="shared" si="5"/>
        <v>899.7862765</v>
      </c>
      <c r="E200" s="190">
        <f t="shared" si="6"/>
        <v>771.7845434</v>
      </c>
      <c r="F200" s="190">
        <f t="shared" si="1"/>
        <v>195545.2212</v>
      </c>
      <c r="G200" s="191">
        <f t="shared" si="7"/>
        <v>240113.7805</v>
      </c>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89"/>
      <c r="AM200" s="189"/>
    </row>
    <row r="201" ht="15.75" customHeight="1">
      <c r="A201" s="189">
        <f t="shared" si="2"/>
        <v>193</v>
      </c>
      <c r="B201" s="190">
        <f t="shared" si="3"/>
        <v>195545.2212</v>
      </c>
      <c r="C201" s="190">
        <f t="shared" si="4"/>
        <v>1671.57082</v>
      </c>
      <c r="D201" s="190">
        <f t="shared" si="5"/>
        <v>896.2489307</v>
      </c>
      <c r="E201" s="190">
        <f t="shared" si="6"/>
        <v>775.3218892</v>
      </c>
      <c r="F201" s="190">
        <f t="shared" si="1"/>
        <v>194769.8994</v>
      </c>
      <c r="G201" s="191">
        <f t="shared" si="7"/>
        <v>240705.9659</v>
      </c>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89"/>
      <c r="AM201" s="189"/>
    </row>
    <row r="202" ht="15.75" customHeight="1">
      <c r="A202" s="189">
        <f t="shared" si="2"/>
        <v>194</v>
      </c>
      <c r="B202" s="190">
        <f t="shared" si="3"/>
        <v>194769.8994</v>
      </c>
      <c r="C202" s="190">
        <f t="shared" si="4"/>
        <v>1671.57082</v>
      </c>
      <c r="D202" s="190">
        <f t="shared" si="5"/>
        <v>892.6953721</v>
      </c>
      <c r="E202" s="190">
        <f t="shared" si="6"/>
        <v>778.8754479</v>
      </c>
      <c r="F202" s="190">
        <f t="shared" si="1"/>
        <v>193991.0239</v>
      </c>
      <c r="G202" s="191">
        <f t="shared" si="7"/>
        <v>241299.6117</v>
      </c>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c r="AL202" s="189"/>
      <c r="AM202" s="189"/>
    </row>
    <row r="203" ht="15.75" customHeight="1">
      <c r="A203" s="189">
        <f t="shared" si="2"/>
        <v>195</v>
      </c>
      <c r="B203" s="190">
        <f t="shared" si="3"/>
        <v>193991.0239</v>
      </c>
      <c r="C203" s="190">
        <f t="shared" si="4"/>
        <v>1671.57082</v>
      </c>
      <c r="D203" s="190">
        <f t="shared" si="5"/>
        <v>889.1255263</v>
      </c>
      <c r="E203" s="190">
        <f t="shared" si="6"/>
        <v>782.4452937</v>
      </c>
      <c r="F203" s="190">
        <f t="shared" si="1"/>
        <v>193208.5786</v>
      </c>
      <c r="G203" s="191">
        <f t="shared" si="7"/>
        <v>241894.7217</v>
      </c>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89"/>
      <c r="AM203" s="189"/>
    </row>
    <row r="204" ht="15.75" customHeight="1">
      <c r="A204" s="189">
        <f t="shared" si="2"/>
        <v>196</v>
      </c>
      <c r="B204" s="190">
        <f t="shared" si="3"/>
        <v>193208.5786</v>
      </c>
      <c r="C204" s="190">
        <f t="shared" si="4"/>
        <v>1671.57082</v>
      </c>
      <c r="D204" s="190">
        <f t="shared" si="5"/>
        <v>885.5393187</v>
      </c>
      <c r="E204" s="190">
        <f t="shared" si="6"/>
        <v>786.0315013</v>
      </c>
      <c r="F204" s="190">
        <f t="shared" si="1"/>
        <v>192422.5471</v>
      </c>
      <c r="G204" s="191">
        <f t="shared" si="7"/>
        <v>242491.2993</v>
      </c>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89"/>
      <c r="AM204" s="189"/>
    </row>
    <row r="205" ht="15.75" customHeight="1">
      <c r="A205" s="189">
        <f t="shared" si="2"/>
        <v>197</v>
      </c>
      <c r="B205" s="190">
        <f t="shared" si="3"/>
        <v>192422.5471</v>
      </c>
      <c r="C205" s="190">
        <f t="shared" si="4"/>
        <v>1671.57082</v>
      </c>
      <c r="D205" s="190">
        <f t="shared" si="5"/>
        <v>881.9366743</v>
      </c>
      <c r="E205" s="190">
        <f t="shared" si="6"/>
        <v>789.6341457</v>
      </c>
      <c r="F205" s="190">
        <f t="shared" si="1"/>
        <v>191632.913</v>
      </c>
      <c r="G205" s="191">
        <f t="shared" si="7"/>
        <v>243089.3483</v>
      </c>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89"/>
      <c r="AM205" s="189"/>
    </row>
    <row r="206" ht="15.75" customHeight="1">
      <c r="A206" s="189">
        <f t="shared" si="2"/>
        <v>198</v>
      </c>
      <c r="B206" s="190">
        <f t="shared" si="3"/>
        <v>191632.913</v>
      </c>
      <c r="C206" s="190">
        <f t="shared" si="4"/>
        <v>1671.57082</v>
      </c>
      <c r="D206" s="190">
        <f t="shared" si="5"/>
        <v>878.3175178</v>
      </c>
      <c r="E206" s="190">
        <f t="shared" si="6"/>
        <v>793.2533022</v>
      </c>
      <c r="F206" s="190">
        <f t="shared" si="1"/>
        <v>190839.6597</v>
      </c>
      <c r="G206" s="191">
        <f t="shared" si="7"/>
        <v>243688.8722</v>
      </c>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89"/>
      <c r="AM206" s="189"/>
    </row>
    <row r="207" ht="15.75" customHeight="1">
      <c r="A207" s="189">
        <f t="shared" si="2"/>
        <v>199</v>
      </c>
      <c r="B207" s="190">
        <f t="shared" si="3"/>
        <v>190839.6597</v>
      </c>
      <c r="C207" s="190">
        <f t="shared" si="4"/>
        <v>1671.57082</v>
      </c>
      <c r="D207" s="190">
        <f t="shared" si="5"/>
        <v>874.6817735</v>
      </c>
      <c r="E207" s="190">
        <f t="shared" si="6"/>
        <v>796.8890465</v>
      </c>
      <c r="F207" s="190">
        <f t="shared" si="1"/>
        <v>190042.7706</v>
      </c>
      <c r="G207" s="191">
        <f t="shared" si="7"/>
        <v>244289.8747</v>
      </c>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89"/>
      <c r="AM207" s="189"/>
    </row>
    <row r="208" ht="15.75" customHeight="1">
      <c r="A208" s="189">
        <f t="shared" si="2"/>
        <v>200</v>
      </c>
      <c r="B208" s="190">
        <f t="shared" si="3"/>
        <v>190042.7706</v>
      </c>
      <c r="C208" s="190">
        <f t="shared" si="4"/>
        <v>1671.57082</v>
      </c>
      <c r="D208" s="190">
        <f t="shared" si="5"/>
        <v>871.0293653</v>
      </c>
      <c r="E208" s="190">
        <f t="shared" si="6"/>
        <v>800.5414546</v>
      </c>
      <c r="F208" s="190">
        <f t="shared" si="1"/>
        <v>189242.2292</v>
      </c>
      <c r="G208" s="191">
        <f t="shared" si="7"/>
        <v>244892.3594</v>
      </c>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89"/>
      <c r="AM208" s="189"/>
    </row>
    <row r="209" ht="15.75" customHeight="1">
      <c r="A209" s="189">
        <f t="shared" si="2"/>
        <v>201</v>
      </c>
      <c r="B209" s="190">
        <f t="shared" si="3"/>
        <v>189242.2292</v>
      </c>
      <c r="C209" s="190">
        <f t="shared" si="4"/>
        <v>1671.57082</v>
      </c>
      <c r="D209" s="190">
        <f t="shared" si="5"/>
        <v>867.360217</v>
      </c>
      <c r="E209" s="190">
        <f t="shared" si="6"/>
        <v>804.210603</v>
      </c>
      <c r="F209" s="190">
        <f t="shared" si="1"/>
        <v>188438.0186</v>
      </c>
      <c r="G209" s="191">
        <f t="shared" si="7"/>
        <v>245496.33</v>
      </c>
      <c r="H209" s="189"/>
      <c r="I209" s="189"/>
      <c r="J209" s="189"/>
      <c r="K209" s="189"/>
      <c r="L209" s="189"/>
      <c r="M209" s="189"/>
      <c r="N209" s="189"/>
      <c r="O209" s="189"/>
      <c r="P209" s="189"/>
      <c r="Q209" s="189"/>
      <c r="R209" s="189"/>
      <c r="S209" s="189"/>
      <c r="T209" s="189"/>
      <c r="U209" s="189"/>
      <c r="V209" s="189"/>
      <c r="W209" s="189"/>
      <c r="X209" s="189"/>
      <c r="Y209" s="189"/>
      <c r="Z209" s="189"/>
      <c r="AA209" s="189"/>
      <c r="AB209" s="189"/>
      <c r="AC209" s="189"/>
      <c r="AD209" s="189"/>
      <c r="AE209" s="189"/>
      <c r="AF209" s="189"/>
      <c r="AG209" s="189"/>
      <c r="AH209" s="189"/>
      <c r="AI209" s="189"/>
      <c r="AJ209" s="189"/>
      <c r="AK209" s="189"/>
      <c r="AL209" s="189"/>
      <c r="AM209" s="189"/>
    </row>
    <row r="210" ht="15.75" customHeight="1">
      <c r="A210" s="189">
        <f t="shared" si="2"/>
        <v>202</v>
      </c>
      <c r="B210" s="190">
        <f t="shared" si="3"/>
        <v>188438.0186</v>
      </c>
      <c r="C210" s="190">
        <f t="shared" si="4"/>
        <v>1671.57082</v>
      </c>
      <c r="D210" s="190">
        <f t="shared" si="5"/>
        <v>863.6742517</v>
      </c>
      <c r="E210" s="190">
        <f t="shared" si="6"/>
        <v>807.8965682</v>
      </c>
      <c r="F210" s="190">
        <f t="shared" si="1"/>
        <v>187630.122</v>
      </c>
      <c r="G210" s="191">
        <f t="shared" si="7"/>
        <v>246101.7902</v>
      </c>
      <c r="H210" s="189"/>
      <c r="I210" s="189"/>
      <c r="J210" s="189"/>
      <c r="K210" s="189"/>
      <c r="L210" s="189"/>
      <c r="M210" s="189"/>
      <c r="N210" s="189"/>
      <c r="O210" s="189"/>
      <c r="P210" s="189"/>
      <c r="Q210" s="189"/>
      <c r="R210" s="189"/>
      <c r="S210" s="189"/>
      <c r="T210" s="189"/>
      <c r="U210" s="189"/>
      <c r="V210" s="189"/>
      <c r="W210" s="189"/>
      <c r="X210" s="189"/>
      <c r="Y210" s="189"/>
      <c r="Z210" s="189"/>
      <c r="AA210" s="189"/>
      <c r="AB210" s="189"/>
      <c r="AC210" s="189"/>
      <c r="AD210" s="189"/>
      <c r="AE210" s="189"/>
      <c r="AF210" s="189"/>
      <c r="AG210" s="189"/>
      <c r="AH210" s="189"/>
      <c r="AI210" s="189"/>
      <c r="AJ210" s="189"/>
      <c r="AK210" s="189"/>
      <c r="AL210" s="189"/>
      <c r="AM210" s="189"/>
    </row>
    <row r="211" ht="15.75" customHeight="1">
      <c r="A211" s="189">
        <f t="shared" si="2"/>
        <v>203</v>
      </c>
      <c r="B211" s="190">
        <f t="shared" si="3"/>
        <v>187630.122</v>
      </c>
      <c r="C211" s="190">
        <f t="shared" si="4"/>
        <v>1671.57082</v>
      </c>
      <c r="D211" s="190">
        <f t="shared" si="5"/>
        <v>859.9713925</v>
      </c>
      <c r="E211" s="190">
        <f t="shared" si="6"/>
        <v>811.5994275</v>
      </c>
      <c r="F211" s="190">
        <f t="shared" si="1"/>
        <v>186818.5226</v>
      </c>
      <c r="G211" s="191">
        <f t="shared" si="7"/>
        <v>246708.7436</v>
      </c>
      <c r="H211" s="189"/>
      <c r="I211" s="189"/>
      <c r="J211" s="189"/>
      <c r="K211" s="189"/>
      <c r="L211" s="189"/>
      <c r="M211" s="189"/>
      <c r="N211" s="189"/>
      <c r="O211" s="189"/>
      <c r="P211" s="189"/>
      <c r="Q211" s="189"/>
      <c r="R211" s="189"/>
      <c r="S211" s="189"/>
      <c r="T211" s="189"/>
      <c r="U211" s="189"/>
      <c r="V211" s="189"/>
      <c r="W211" s="189"/>
      <c r="X211" s="189"/>
      <c r="Y211" s="189"/>
      <c r="Z211" s="189"/>
      <c r="AA211" s="189"/>
      <c r="AB211" s="189"/>
      <c r="AC211" s="189"/>
      <c r="AD211" s="189"/>
      <c r="AE211" s="189"/>
      <c r="AF211" s="189"/>
      <c r="AG211" s="189"/>
      <c r="AH211" s="189"/>
      <c r="AI211" s="189"/>
      <c r="AJ211" s="189"/>
      <c r="AK211" s="189"/>
      <c r="AL211" s="189"/>
      <c r="AM211" s="189"/>
    </row>
    <row r="212" ht="15.75" customHeight="1">
      <c r="A212" s="189">
        <f t="shared" si="2"/>
        <v>204</v>
      </c>
      <c r="B212" s="190">
        <f t="shared" si="3"/>
        <v>186818.5226</v>
      </c>
      <c r="C212" s="190">
        <f t="shared" si="4"/>
        <v>1671.57082</v>
      </c>
      <c r="D212" s="190">
        <f t="shared" si="5"/>
        <v>856.2515618</v>
      </c>
      <c r="E212" s="190">
        <f t="shared" si="6"/>
        <v>815.3192582</v>
      </c>
      <c r="F212" s="190">
        <f t="shared" si="1"/>
        <v>186003.2033</v>
      </c>
      <c r="G212" s="191">
        <f t="shared" si="7"/>
        <v>247317.1939</v>
      </c>
      <c r="H212" s="189"/>
      <c r="I212" s="189"/>
      <c r="J212" s="189"/>
      <c r="K212" s="189"/>
      <c r="L212" s="189"/>
      <c r="M212" s="189"/>
      <c r="N212" s="189"/>
      <c r="O212" s="189"/>
      <c r="P212" s="189"/>
      <c r="Q212" s="189"/>
      <c r="R212" s="189"/>
      <c r="S212" s="189"/>
      <c r="T212" s="189"/>
      <c r="U212" s="189"/>
      <c r="V212" s="189"/>
      <c r="W212" s="189"/>
      <c r="X212" s="189"/>
      <c r="Y212" s="189"/>
      <c r="Z212" s="189"/>
      <c r="AA212" s="189"/>
      <c r="AB212" s="189"/>
      <c r="AC212" s="189"/>
      <c r="AD212" s="189"/>
      <c r="AE212" s="189"/>
      <c r="AF212" s="189"/>
      <c r="AG212" s="189"/>
      <c r="AH212" s="189"/>
      <c r="AI212" s="189"/>
      <c r="AJ212" s="189"/>
      <c r="AK212" s="189"/>
      <c r="AL212" s="189"/>
      <c r="AM212" s="189"/>
    </row>
    <row r="213" ht="15.75" customHeight="1">
      <c r="A213" s="189">
        <f t="shared" si="2"/>
        <v>205</v>
      </c>
      <c r="B213" s="190">
        <f t="shared" si="3"/>
        <v>186003.2033</v>
      </c>
      <c r="C213" s="190">
        <f t="shared" si="4"/>
        <v>1671.57082</v>
      </c>
      <c r="D213" s="190">
        <f t="shared" si="5"/>
        <v>852.5146818</v>
      </c>
      <c r="E213" s="190">
        <f t="shared" si="6"/>
        <v>819.0561381</v>
      </c>
      <c r="F213" s="190">
        <f t="shared" si="1"/>
        <v>185184.1472</v>
      </c>
      <c r="G213" s="191">
        <f t="shared" si="7"/>
        <v>247927.1448</v>
      </c>
      <c r="H213" s="189"/>
      <c r="I213" s="189"/>
      <c r="J213" s="189"/>
      <c r="K213" s="189"/>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row>
    <row r="214" ht="15.75" customHeight="1">
      <c r="A214" s="189">
        <f t="shared" si="2"/>
        <v>206</v>
      </c>
      <c r="B214" s="190">
        <f t="shared" si="3"/>
        <v>185184.1472</v>
      </c>
      <c r="C214" s="190">
        <f t="shared" si="4"/>
        <v>1671.57082</v>
      </c>
      <c r="D214" s="190">
        <f t="shared" si="5"/>
        <v>848.7606745</v>
      </c>
      <c r="E214" s="190">
        <f t="shared" si="6"/>
        <v>822.8101454</v>
      </c>
      <c r="F214" s="190">
        <f t="shared" si="1"/>
        <v>184361.337</v>
      </c>
      <c r="G214" s="191">
        <f t="shared" si="7"/>
        <v>248538.6001</v>
      </c>
      <c r="H214" s="189"/>
      <c r="I214" s="189"/>
      <c r="J214" s="189"/>
      <c r="K214" s="189"/>
      <c r="L214" s="189"/>
      <c r="M214" s="189"/>
      <c r="N214" s="189"/>
      <c r="O214" s="189"/>
      <c r="P214" s="189"/>
      <c r="Q214" s="189"/>
      <c r="R214" s="189"/>
      <c r="S214" s="189"/>
      <c r="T214" s="189"/>
      <c r="U214" s="189"/>
      <c r="V214" s="189"/>
      <c r="W214" s="189"/>
      <c r="X214" s="189"/>
      <c r="Y214" s="189"/>
      <c r="Z214" s="189"/>
      <c r="AA214" s="189"/>
      <c r="AB214" s="189"/>
      <c r="AC214" s="189"/>
      <c r="AD214" s="189"/>
      <c r="AE214" s="189"/>
      <c r="AF214" s="189"/>
      <c r="AG214" s="189"/>
      <c r="AH214" s="189"/>
      <c r="AI214" s="189"/>
      <c r="AJ214" s="189"/>
      <c r="AK214" s="189"/>
      <c r="AL214" s="189"/>
      <c r="AM214" s="189"/>
    </row>
    <row r="215" ht="15.75" customHeight="1">
      <c r="A215" s="189">
        <f t="shared" si="2"/>
        <v>207</v>
      </c>
      <c r="B215" s="190">
        <f t="shared" si="3"/>
        <v>184361.337</v>
      </c>
      <c r="C215" s="190">
        <f t="shared" si="4"/>
        <v>1671.57082</v>
      </c>
      <c r="D215" s="190">
        <f t="shared" si="5"/>
        <v>844.9894614</v>
      </c>
      <c r="E215" s="190">
        <f t="shared" si="6"/>
        <v>826.5813586</v>
      </c>
      <c r="F215" s="190">
        <f t="shared" si="1"/>
        <v>183534.7557</v>
      </c>
      <c r="G215" s="191">
        <f t="shared" si="7"/>
        <v>249151.5633</v>
      </c>
      <c r="H215" s="189"/>
      <c r="I215" s="189"/>
      <c r="J215" s="189"/>
      <c r="K215" s="189"/>
      <c r="L215" s="189"/>
      <c r="M215" s="189"/>
      <c r="N215" s="189"/>
      <c r="O215" s="189"/>
      <c r="P215" s="189"/>
      <c r="Q215" s="189"/>
      <c r="R215" s="189"/>
      <c r="S215" s="189"/>
      <c r="T215" s="189"/>
      <c r="U215" s="189"/>
      <c r="V215" s="189"/>
      <c r="W215" s="189"/>
      <c r="X215" s="189"/>
      <c r="Y215" s="189"/>
      <c r="Z215" s="189"/>
      <c r="AA215" s="189"/>
      <c r="AB215" s="189"/>
      <c r="AC215" s="189"/>
      <c r="AD215" s="189"/>
      <c r="AE215" s="189"/>
      <c r="AF215" s="189"/>
      <c r="AG215" s="189"/>
      <c r="AH215" s="189"/>
      <c r="AI215" s="189"/>
      <c r="AJ215" s="189"/>
      <c r="AK215" s="189"/>
      <c r="AL215" s="189"/>
      <c r="AM215" s="189"/>
    </row>
    <row r="216" ht="15.75" customHeight="1">
      <c r="A216" s="189">
        <f t="shared" si="2"/>
        <v>208</v>
      </c>
      <c r="B216" s="190">
        <f t="shared" si="3"/>
        <v>183534.7557</v>
      </c>
      <c r="C216" s="190">
        <f t="shared" si="4"/>
        <v>1671.57082</v>
      </c>
      <c r="D216" s="190">
        <f t="shared" si="5"/>
        <v>841.2009635</v>
      </c>
      <c r="E216" s="190">
        <f t="shared" si="6"/>
        <v>830.3698565</v>
      </c>
      <c r="F216" s="190">
        <f t="shared" si="1"/>
        <v>182704.3858</v>
      </c>
      <c r="G216" s="191">
        <f t="shared" si="7"/>
        <v>249766.0383</v>
      </c>
      <c r="H216" s="189"/>
      <c r="I216" s="189"/>
      <c r="J216" s="189"/>
      <c r="K216" s="189"/>
      <c r="L216" s="189"/>
      <c r="M216" s="189"/>
      <c r="N216" s="189"/>
      <c r="O216" s="189"/>
      <c r="P216" s="189"/>
      <c r="Q216" s="189"/>
      <c r="R216" s="189"/>
      <c r="S216" s="189"/>
      <c r="T216" s="189"/>
      <c r="U216" s="189"/>
      <c r="V216" s="189"/>
      <c r="W216" s="189"/>
      <c r="X216" s="189"/>
      <c r="Y216" s="189"/>
      <c r="Z216" s="189"/>
      <c r="AA216" s="189"/>
      <c r="AB216" s="189"/>
      <c r="AC216" s="189"/>
      <c r="AD216" s="189"/>
      <c r="AE216" s="189"/>
      <c r="AF216" s="189"/>
      <c r="AG216" s="189"/>
      <c r="AH216" s="189"/>
      <c r="AI216" s="189"/>
      <c r="AJ216" s="189"/>
      <c r="AK216" s="189"/>
      <c r="AL216" s="189"/>
      <c r="AM216" s="189"/>
    </row>
    <row r="217" ht="15.75" customHeight="1">
      <c r="A217" s="189">
        <f t="shared" si="2"/>
        <v>209</v>
      </c>
      <c r="B217" s="190">
        <f t="shared" si="3"/>
        <v>182704.3858</v>
      </c>
      <c r="C217" s="190">
        <f t="shared" si="4"/>
        <v>1671.57082</v>
      </c>
      <c r="D217" s="190">
        <f t="shared" si="5"/>
        <v>837.3951016</v>
      </c>
      <c r="E217" s="190">
        <f t="shared" si="6"/>
        <v>834.1757183</v>
      </c>
      <c r="F217" s="190">
        <f t="shared" si="1"/>
        <v>181870.2101</v>
      </c>
      <c r="G217" s="191">
        <f t="shared" si="7"/>
        <v>250382.0287</v>
      </c>
      <c r="H217" s="189"/>
      <c r="I217" s="189"/>
      <c r="J217" s="189"/>
      <c r="K217" s="189"/>
      <c r="L217" s="189"/>
      <c r="M217" s="189"/>
      <c r="N217" s="189"/>
      <c r="O217" s="189"/>
      <c r="P217" s="189"/>
      <c r="Q217" s="189"/>
      <c r="R217" s="189"/>
      <c r="S217" s="189"/>
      <c r="T217" s="189"/>
      <c r="U217" s="189"/>
      <c r="V217" s="189"/>
      <c r="W217" s="189"/>
      <c r="X217" s="189"/>
      <c r="Y217" s="189"/>
      <c r="Z217" s="189"/>
      <c r="AA217" s="189"/>
      <c r="AB217" s="189"/>
      <c r="AC217" s="189"/>
      <c r="AD217" s="189"/>
      <c r="AE217" s="189"/>
      <c r="AF217" s="189"/>
      <c r="AG217" s="189"/>
      <c r="AH217" s="189"/>
      <c r="AI217" s="189"/>
      <c r="AJ217" s="189"/>
      <c r="AK217" s="189"/>
      <c r="AL217" s="189"/>
      <c r="AM217" s="189"/>
    </row>
    <row r="218" ht="15.75" customHeight="1">
      <c r="A218" s="189">
        <f t="shared" si="2"/>
        <v>210</v>
      </c>
      <c r="B218" s="190">
        <f t="shared" si="3"/>
        <v>181870.2101</v>
      </c>
      <c r="C218" s="190">
        <f t="shared" si="4"/>
        <v>1671.57082</v>
      </c>
      <c r="D218" s="190">
        <f t="shared" si="5"/>
        <v>833.5717963</v>
      </c>
      <c r="E218" s="190">
        <f t="shared" si="6"/>
        <v>837.9990237</v>
      </c>
      <c r="F218" s="190">
        <f t="shared" si="1"/>
        <v>181032.2111</v>
      </c>
      <c r="G218" s="191">
        <f t="shared" si="7"/>
        <v>250999.5383</v>
      </c>
      <c r="H218" s="189"/>
      <c r="I218" s="189"/>
      <c r="J218" s="189"/>
      <c r="K218" s="189"/>
      <c r="L218" s="189"/>
      <c r="M218" s="189"/>
      <c r="N218" s="189"/>
      <c r="O218" s="189"/>
      <c r="P218" s="189"/>
      <c r="Q218" s="189"/>
      <c r="R218" s="189"/>
      <c r="S218" s="189"/>
      <c r="T218" s="189"/>
      <c r="U218" s="189"/>
      <c r="V218" s="189"/>
      <c r="W218" s="189"/>
      <c r="X218" s="189"/>
      <c r="Y218" s="189"/>
      <c r="Z218" s="189"/>
      <c r="AA218" s="189"/>
      <c r="AB218" s="189"/>
      <c r="AC218" s="189"/>
      <c r="AD218" s="189"/>
      <c r="AE218" s="189"/>
      <c r="AF218" s="189"/>
      <c r="AG218" s="189"/>
      <c r="AH218" s="189"/>
      <c r="AI218" s="189"/>
      <c r="AJ218" s="189"/>
      <c r="AK218" s="189"/>
      <c r="AL218" s="189"/>
      <c r="AM218" s="189"/>
    </row>
    <row r="219" ht="15.75" customHeight="1">
      <c r="A219" s="189">
        <f t="shared" si="2"/>
        <v>211</v>
      </c>
      <c r="B219" s="190">
        <f t="shared" si="3"/>
        <v>181032.2111</v>
      </c>
      <c r="C219" s="190">
        <f t="shared" si="4"/>
        <v>1671.57082</v>
      </c>
      <c r="D219" s="190">
        <f t="shared" si="5"/>
        <v>829.7309674</v>
      </c>
      <c r="E219" s="190">
        <f t="shared" si="6"/>
        <v>841.8398526</v>
      </c>
      <c r="F219" s="190">
        <f t="shared" si="1"/>
        <v>180190.3712</v>
      </c>
      <c r="G219" s="191">
        <f t="shared" si="7"/>
        <v>251618.5709</v>
      </c>
      <c r="H219" s="189"/>
      <c r="I219" s="189"/>
      <c r="J219" s="189"/>
      <c r="K219" s="189"/>
      <c r="L219" s="189"/>
      <c r="M219" s="189"/>
      <c r="N219" s="189"/>
      <c r="O219" s="189"/>
      <c r="P219" s="189"/>
      <c r="Q219" s="189"/>
      <c r="R219" s="189"/>
      <c r="S219" s="189"/>
      <c r="T219" s="189"/>
      <c r="U219" s="189"/>
      <c r="V219" s="189"/>
      <c r="W219" s="189"/>
      <c r="X219" s="189"/>
      <c r="Y219" s="189"/>
      <c r="Z219" s="189"/>
      <c r="AA219" s="189"/>
      <c r="AB219" s="189"/>
      <c r="AC219" s="189"/>
      <c r="AD219" s="189"/>
      <c r="AE219" s="189"/>
      <c r="AF219" s="189"/>
      <c r="AG219" s="189"/>
      <c r="AH219" s="189"/>
      <c r="AI219" s="189"/>
      <c r="AJ219" s="189"/>
      <c r="AK219" s="189"/>
      <c r="AL219" s="189"/>
      <c r="AM219" s="189"/>
    </row>
    <row r="220" ht="15.75" customHeight="1">
      <c r="A220" s="189">
        <f t="shared" si="2"/>
        <v>212</v>
      </c>
      <c r="B220" s="190">
        <f t="shared" si="3"/>
        <v>180190.3712</v>
      </c>
      <c r="C220" s="190">
        <f t="shared" si="4"/>
        <v>1671.57082</v>
      </c>
      <c r="D220" s="190">
        <f t="shared" si="5"/>
        <v>825.8725347</v>
      </c>
      <c r="E220" s="190">
        <f t="shared" si="6"/>
        <v>845.6982852</v>
      </c>
      <c r="F220" s="190">
        <f t="shared" si="1"/>
        <v>179344.6729</v>
      </c>
      <c r="G220" s="191">
        <f t="shared" si="7"/>
        <v>252239.1302</v>
      </c>
      <c r="H220" s="189"/>
      <c r="I220" s="189"/>
      <c r="J220" s="189"/>
      <c r="K220" s="189"/>
      <c r="L220" s="189"/>
      <c r="M220" s="189"/>
      <c r="N220" s="189"/>
      <c r="O220" s="189"/>
      <c r="P220" s="189"/>
      <c r="Q220" s="189"/>
      <c r="R220" s="189"/>
      <c r="S220" s="189"/>
      <c r="T220" s="189"/>
      <c r="U220" s="189"/>
      <c r="V220" s="189"/>
      <c r="W220" s="189"/>
      <c r="X220" s="189"/>
      <c r="Y220" s="189"/>
      <c r="Z220" s="189"/>
      <c r="AA220" s="189"/>
      <c r="AB220" s="189"/>
      <c r="AC220" s="189"/>
      <c r="AD220" s="189"/>
      <c r="AE220" s="189"/>
      <c r="AF220" s="189"/>
      <c r="AG220" s="189"/>
      <c r="AH220" s="189"/>
      <c r="AI220" s="189"/>
      <c r="AJ220" s="189"/>
      <c r="AK220" s="189"/>
      <c r="AL220" s="189"/>
      <c r="AM220" s="189"/>
    </row>
    <row r="221" ht="15.75" customHeight="1">
      <c r="A221" s="189">
        <f t="shared" si="2"/>
        <v>213</v>
      </c>
      <c r="B221" s="190">
        <f t="shared" si="3"/>
        <v>179344.6729</v>
      </c>
      <c r="C221" s="190">
        <f t="shared" si="4"/>
        <v>1671.57082</v>
      </c>
      <c r="D221" s="190">
        <f t="shared" si="5"/>
        <v>821.9964176</v>
      </c>
      <c r="E221" s="190">
        <f t="shared" si="6"/>
        <v>849.5744024</v>
      </c>
      <c r="F221" s="190">
        <f t="shared" si="1"/>
        <v>178495.0985</v>
      </c>
      <c r="G221" s="191">
        <f t="shared" si="7"/>
        <v>252861.2199</v>
      </c>
      <c r="H221" s="189"/>
      <c r="I221" s="189"/>
      <c r="J221" s="189"/>
      <c r="K221" s="189"/>
      <c r="L221" s="189"/>
      <c r="M221" s="189"/>
      <c r="N221" s="189"/>
      <c r="O221" s="189"/>
      <c r="P221" s="189"/>
      <c r="Q221" s="189"/>
      <c r="R221" s="189"/>
      <c r="S221" s="189"/>
      <c r="T221" s="189"/>
      <c r="U221" s="189"/>
      <c r="V221" s="189"/>
      <c r="W221" s="189"/>
      <c r="X221" s="189"/>
      <c r="Y221" s="189"/>
      <c r="Z221" s="189"/>
      <c r="AA221" s="189"/>
      <c r="AB221" s="189"/>
      <c r="AC221" s="189"/>
      <c r="AD221" s="189"/>
      <c r="AE221" s="189"/>
      <c r="AF221" s="189"/>
      <c r="AG221" s="189"/>
      <c r="AH221" s="189"/>
      <c r="AI221" s="189"/>
      <c r="AJ221" s="189"/>
      <c r="AK221" s="189"/>
      <c r="AL221" s="189"/>
      <c r="AM221" s="189"/>
    </row>
    <row r="222" ht="15.75" customHeight="1">
      <c r="A222" s="189">
        <f t="shared" si="2"/>
        <v>214</v>
      </c>
      <c r="B222" s="190">
        <f t="shared" si="3"/>
        <v>178495.0985</v>
      </c>
      <c r="C222" s="190">
        <f t="shared" si="4"/>
        <v>1671.57082</v>
      </c>
      <c r="D222" s="190">
        <f t="shared" si="5"/>
        <v>818.1025349</v>
      </c>
      <c r="E222" s="190">
        <f t="shared" si="6"/>
        <v>853.468285</v>
      </c>
      <c r="F222" s="190">
        <f t="shared" si="1"/>
        <v>177641.6302</v>
      </c>
      <c r="G222" s="191">
        <f t="shared" si="7"/>
        <v>253484.8439</v>
      </c>
      <c r="H222" s="189"/>
      <c r="I222" s="189"/>
      <c r="J222" s="189"/>
      <c r="K222" s="189"/>
      <c r="L222" s="189"/>
      <c r="M222" s="189"/>
      <c r="N222" s="189"/>
      <c r="O222" s="189"/>
      <c r="P222" s="189"/>
      <c r="Q222" s="189"/>
      <c r="R222" s="189"/>
      <c r="S222" s="189"/>
      <c r="T222" s="189"/>
      <c r="U222" s="189"/>
      <c r="V222" s="189"/>
      <c r="W222" s="189"/>
      <c r="X222" s="189"/>
      <c r="Y222" s="189"/>
      <c r="Z222" s="189"/>
      <c r="AA222" s="189"/>
      <c r="AB222" s="189"/>
      <c r="AC222" s="189"/>
      <c r="AD222" s="189"/>
      <c r="AE222" s="189"/>
      <c r="AF222" s="189"/>
      <c r="AG222" s="189"/>
      <c r="AH222" s="189"/>
      <c r="AI222" s="189"/>
      <c r="AJ222" s="189"/>
      <c r="AK222" s="189"/>
      <c r="AL222" s="189"/>
      <c r="AM222" s="189"/>
    </row>
    <row r="223" ht="15.75" customHeight="1">
      <c r="A223" s="189">
        <f t="shared" si="2"/>
        <v>215</v>
      </c>
      <c r="B223" s="190">
        <f t="shared" si="3"/>
        <v>177641.6302</v>
      </c>
      <c r="C223" s="190">
        <f t="shared" si="4"/>
        <v>1671.57082</v>
      </c>
      <c r="D223" s="190">
        <f t="shared" si="5"/>
        <v>814.1908053</v>
      </c>
      <c r="E223" s="190">
        <f t="shared" si="6"/>
        <v>857.3800147</v>
      </c>
      <c r="F223" s="190">
        <f t="shared" si="1"/>
        <v>176784.2502</v>
      </c>
      <c r="G223" s="191">
        <f t="shared" si="7"/>
        <v>254110.0059</v>
      </c>
      <c r="H223" s="189"/>
      <c r="I223" s="189"/>
      <c r="J223" s="189"/>
      <c r="K223" s="189"/>
      <c r="L223" s="189"/>
      <c r="M223" s="189"/>
      <c r="N223" s="189"/>
      <c r="O223" s="189"/>
      <c r="P223" s="189"/>
      <c r="Q223" s="189"/>
      <c r="R223" s="189"/>
      <c r="S223" s="189"/>
      <c r="T223" s="189"/>
      <c r="U223" s="189"/>
      <c r="V223" s="189"/>
      <c r="W223" s="189"/>
      <c r="X223" s="189"/>
      <c r="Y223" s="189"/>
      <c r="Z223" s="189"/>
      <c r="AA223" s="189"/>
      <c r="AB223" s="189"/>
      <c r="AC223" s="189"/>
      <c r="AD223" s="189"/>
      <c r="AE223" s="189"/>
      <c r="AF223" s="189"/>
      <c r="AG223" s="189"/>
      <c r="AH223" s="189"/>
      <c r="AI223" s="189"/>
      <c r="AJ223" s="189"/>
      <c r="AK223" s="189"/>
      <c r="AL223" s="189"/>
      <c r="AM223" s="189"/>
    </row>
    <row r="224" ht="15.75" customHeight="1">
      <c r="A224" s="189">
        <f t="shared" si="2"/>
        <v>216</v>
      </c>
      <c r="B224" s="190">
        <f t="shared" si="3"/>
        <v>176784.2502</v>
      </c>
      <c r="C224" s="190">
        <f t="shared" si="4"/>
        <v>1671.57082</v>
      </c>
      <c r="D224" s="190">
        <f t="shared" si="5"/>
        <v>810.2611469</v>
      </c>
      <c r="E224" s="190">
        <f t="shared" si="6"/>
        <v>861.3096731</v>
      </c>
      <c r="F224" s="190">
        <f t="shared" si="1"/>
        <v>175922.9406</v>
      </c>
      <c r="G224" s="191">
        <f t="shared" si="7"/>
        <v>254736.7097</v>
      </c>
      <c r="H224" s="189"/>
      <c r="I224" s="189"/>
      <c r="J224" s="189"/>
      <c r="K224" s="189"/>
      <c r="L224" s="189"/>
      <c r="M224" s="189"/>
      <c r="N224" s="189"/>
      <c r="O224" s="189"/>
      <c r="P224" s="189"/>
      <c r="Q224" s="189"/>
      <c r="R224" s="189"/>
      <c r="S224" s="189"/>
      <c r="T224" s="189"/>
      <c r="U224" s="189"/>
      <c r="V224" s="189"/>
      <c r="W224" s="189"/>
      <c r="X224" s="189"/>
      <c r="Y224" s="189"/>
      <c r="Z224" s="189"/>
      <c r="AA224" s="189"/>
      <c r="AB224" s="189"/>
      <c r="AC224" s="189"/>
      <c r="AD224" s="189"/>
      <c r="AE224" s="189"/>
      <c r="AF224" s="189"/>
      <c r="AG224" s="189"/>
      <c r="AH224" s="189"/>
      <c r="AI224" s="189"/>
      <c r="AJ224" s="189"/>
      <c r="AK224" s="189"/>
      <c r="AL224" s="189"/>
      <c r="AM224" s="189"/>
    </row>
    <row r="225" ht="15.75" customHeight="1">
      <c r="A225" s="189">
        <f t="shared" si="2"/>
        <v>217</v>
      </c>
      <c r="B225" s="190">
        <f t="shared" si="3"/>
        <v>175922.9406</v>
      </c>
      <c r="C225" s="190">
        <f t="shared" si="4"/>
        <v>1671.57082</v>
      </c>
      <c r="D225" s="190">
        <f t="shared" si="5"/>
        <v>806.3134775</v>
      </c>
      <c r="E225" s="190">
        <f t="shared" si="6"/>
        <v>865.2573424</v>
      </c>
      <c r="F225" s="190">
        <f t="shared" si="1"/>
        <v>175057.6832</v>
      </c>
      <c r="G225" s="191">
        <f t="shared" si="7"/>
        <v>255364.9592</v>
      </c>
      <c r="H225" s="189"/>
      <c r="I225" s="189"/>
      <c r="J225" s="189"/>
      <c r="K225" s="189"/>
      <c r="L225" s="189"/>
      <c r="M225" s="189"/>
      <c r="N225" s="189"/>
      <c r="O225" s="189"/>
      <c r="P225" s="189"/>
      <c r="Q225" s="189"/>
      <c r="R225" s="189"/>
      <c r="S225" s="189"/>
      <c r="T225" s="189"/>
      <c r="U225" s="189"/>
      <c r="V225" s="189"/>
      <c r="W225" s="189"/>
      <c r="X225" s="189"/>
      <c r="Y225" s="189"/>
      <c r="Z225" s="189"/>
      <c r="AA225" s="189"/>
      <c r="AB225" s="189"/>
      <c r="AC225" s="189"/>
      <c r="AD225" s="189"/>
      <c r="AE225" s="189"/>
      <c r="AF225" s="189"/>
      <c r="AG225" s="189"/>
      <c r="AH225" s="189"/>
      <c r="AI225" s="189"/>
      <c r="AJ225" s="189"/>
      <c r="AK225" s="189"/>
      <c r="AL225" s="189"/>
      <c r="AM225" s="189"/>
    </row>
    <row r="226" ht="15.75" customHeight="1">
      <c r="A226" s="189">
        <f t="shared" si="2"/>
        <v>218</v>
      </c>
      <c r="B226" s="190">
        <f t="shared" si="3"/>
        <v>175057.6832</v>
      </c>
      <c r="C226" s="190">
        <f t="shared" si="4"/>
        <v>1671.57082</v>
      </c>
      <c r="D226" s="190">
        <f t="shared" si="5"/>
        <v>802.3477147</v>
      </c>
      <c r="E226" s="190">
        <f t="shared" si="6"/>
        <v>869.2231052</v>
      </c>
      <c r="F226" s="190">
        <f t="shared" si="1"/>
        <v>174188.4601</v>
      </c>
      <c r="G226" s="191">
        <f t="shared" si="7"/>
        <v>255994.7581</v>
      </c>
      <c r="H226" s="189"/>
      <c r="I226" s="189"/>
      <c r="J226" s="189"/>
      <c r="K226" s="189"/>
      <c r="L226" s="189"/>
      <c r="M226" s="189"/>
      <c r="N226" s="189"/>
      <c r="O226" s="189"/>
      <c r="P226" s="189"/>
      <c r="Q226" s="189"/>
      <c r="R226" s="189"/>
      <c r="S226" s="189"/>
      <c r="T226" s="189"/>
      <c r="U226" s="189"/>
      <c r="V226" s="189"/>
      <c r="W226" s="189"/>
      <c r="X226" s="189"/>
      <c r="Y226" s="189"/>
      <c r="Z226" s="189"/>
      <c r="AA226" s="189"/>
      <c r="AB226" s="189"/>
      <c r="AC226" s="189"/>
      <c r="AD226" s="189"/>
      <c r="AE226" s="189"/>
      <c r="AF226" s="189"/>
      <c r="AG226" s="189"/>
      <c r="AH226" s="189"/>
      <c r="AI226" s="189"/>
      <c r="AJ226" s="189"/>
      <c r="AK226" s="189"/>
      <c r="AL226" s="189"/>
      <c r="AM226" s="189"/>
    </row>
    <row r="227" ht="15.75" customHeight="1">
      <c r="A227" s="189">
        <f t="shared" si="2"/>
        <v>219</v>
      </c>
      <c r="B227" s="190">
        <f t="shared" si="3"/>
        <v>174188.4601</v>
      </c>
      <c r="C227" s="190">
        <f t="shared" si="4"/>
        <v>1671.57082</v>
      </c>
      <c r="D227" s="190">
        <f t="shared" si="5"/>
        <v>798.3637755</v>
      </c>
      <c r="E227" s="190">
        <f t="shared" si="6"/>
        <v>873.2070445</v>
      </c>
      <c r="F227" s="190">
        <f t="shared" si="1"/>
        <v>173315.2531</v>
      </c>
      <c r="G227" s="191">
        <f t="shared" si="7"/>
        <v>256626.1102</v>
      </c>
      <c r="H227" s="189"/>
      <c r="I227" s="189"/>
      <c r="J227" s="189"/>
      <c r="K227" s="189"/>
      <c r="L227" s="189"/>
      <c r="M227" s="189"/>
      <c r="N227" s="189"/>
      <c r="O227" s="189"/>
      <c r="P227" s="189"/>
      <c r="Q227" s="189"/>
      <c r="R227" s="189"/>
      <c r="S227" s="189"/>
      <c r="T227" s="189"/>
      <c r="U227" s="189"/>
      <c r="V227" s="189"/>
      <c r="W227" s="189"/>
      <c r="X227" s="189"/>
      <c r="Y227" s="189"/>
      <c r="Z227" s="189"/>
      <c r="AA227" s="189"/>
      <c r="AB227" s="189"/>
      <c r="AC227" s="189"/>
      <c r="AD227" s="189"/>
      <c r="AE227" s="189"/>
      <c r="AF227" s="189"/>
      <c r="AG227" s="189"/>
      <c r="AH227" s="189"/>
      <c r="AI227" s="189"/>
      <c r="AJ227" s="189"/>
      <c r="AK227" s="189"/>
      <c r="AL227" s="189"/>
      <c r="AM227" s="189"/>
    </row>
    <row r="228" ht="15.75" customHeight="1">
      <c r="A228" s="189">
        <f t="shared" si="2"/>
        <v>220</v>
      </c>
      <c r="B228" s="190">
        <f t="shared" si="3"/>
        <v>173315.2531</v>
      </c>
      <c r="C228" s="190">
        <f t="shared" si="4"/>
        <v>1671.57082</v>
      </c>
      <c r="D228" s="190">
        <f t="shared" si="5"/>
        <v>794.3615765</v>
      </c>
      <c r="E228" s="190">
        <f t="shared" si="6"/>
        <v>877.2092434</v>
      </c>
      <c r="F228" s="190">
        <f t="shared" si="1"/>
        <v>172438.0438</v>
      </c>
      <c r="G228" s="191">
        <f t="shared" si="7"/>
        <v>257259.0194</v>
      </c>
      <c r="H228" s="189"/>
      <c r="I228" s="189"/>
      <c r="J228" s="189"/>
      <c r="K228" s="189"/>
      <c r="L228" s="189"/>
      <c r="M228" s="189"/>
      <c r="N228" s="189"/>
      <c r="O228" s="189"/>
      <c r="P228" s="189"/>
      <c r="Q228" s="189"/>
      <c r="R228" s="189"/>
      <c r="S228" s="189"/>
      <c r="T228" s="189"/>
      <c r="U228" s="189"/>
      <c r="V228" s="189"/>
      <c r="W228" s="189"/>
      <c r="X228" s="189"/>
      <c r="Y228" s="189"/>
      <c r="Z228" s="189"/>
      <c r="AA228" s="189"/>
      <c r="AB228" s="189"/>
      <c r="AC228" s="189"/>
      <c r="AD228" s="189"/>
      <c r="AE228" s="189"/>
      <c r="AF228" s="189"/>
      <c r="AG228" s="189"/>
      <c r="AH228" s="189"/>
      <c r="AI228" s="189"/>
      <c r="AJ228" s="189"/>
      <c r="AK228" s="189"/>
      <c r="AL228" s="189"/>
      <c r="AM228" s="189"/>
    </row>
    <row r="229" ht="15.75" customHeight="1">
      <c r="A229" s="189">
        <f t="shared" si="2"/>
        <v>221</v>
      </c>
      <c r="B229" s="190">
        <f t="shared" si="3"/>
        <v>172438.0438</v>
      </c>
      <c r="C229" s="190">
        <f t="shared" si="4"/>
        <v>1671.57082</v>
      </c>
      <c r="D229" s="190">
        <f t="shared" si="5"/>
        <v>790.3410342</v>
      </c>
      <c r="E229" s="190">
        <f t="shared" si="6"/>
        <v>881.2297858</v>
      </c>
      <c r="F229" s="190">
        <f t="shared" si="1"/>
        <v>171556.814</v>
      </c>
      <c r="G229" s="191">
        <f t="shared" si="7"/>
        <v>257893.4896</v>
      </c>
      <c r="H229" s="189"/>
      <c r="I229" s="189"/>
      <c r="J229" s="189"/>
      <c r="K229" s="189"/>
      <c r="L229" s="189"/>
      <c r="M229" s="189"/>
      <c r="N229" s="189"/>
      <c r="O229" s="189"/>
      <c r="P229" s="189"/>
      <c r="Q229" s="189"/>
      <c r="R229" s="189"/>
      <c r="S229" s="189"/>
      <c r="T229" s="189"/>
      <c r="U229" s="189"/>
      <c r="V229" s="189"/>
      <c r="W229" s="189"/>
      <c r="X229" s="189"/>
      <c r="Y229" s="189"/>
      <c r="Z229" s="189"/>
      <c r="AA229" s="189"/>
      <c r="AB229" s="189"/>
      <c r="AC229" s="189"/>
      <c r="AD229" s="189"/>
      <c r="AE229" s="189"/>
      <c r="AF229" s="189"/>
      <c r="AG229" s="189"/>
      <c r="AH229" s="189"/>
      <c r="AI229" s="189"/>
      <c r="AJ229" s="189"/>
      <c r="AK229" s="189"/>
      <c r="AL229" s="189"/>
      <c r="AM229" s="189"/>
    </row>
    <row r="230" ht="15.75" customHeight="1">
      <c r="A230" s="189">
        <f t="shared" si="2"/>
        <v>222</v>
      </c>
      <c r="B230" s="190">
        <f t="shared" si="3"/>
        <v>171556.814</v>
      </c>
      <c r="C230" s="190">
        <f t="shared" si="4"/>
        <v>1671.57082</v>
      </c>
      <c r="D230" s="190">
        <f t="shared" si="5"/>
        <v>786.3020643</v>
      </c>
      <c r="E230" s="190">
        <f t="shared" si="6"/>
        <v>885.2687556</v>
      </c>
      <c r="F230" s="190">
        <f t="shared" si="1"/>
        <v>170671.5453</v>
      </c>
      <c r="G230" s="191">
        <f t="shared" si="7"/>
        <v>258529.5245</v>
      </c>
      <c r="H230" s="189"/>
      <c r="I230" s="189"/>
      <c r="J230" s="189"/>
      <c r="K230" s="189"/>
      <c r="L230" s="189"/>
      <c r="M230" s="189"/>
      <c r="N230" s="189"/>
      <c r="O230" s="189"/>
      <c r="P230" s="189"/>
      <c r="Q230" s="189"/>
      <c r="R230" s="189"/>
      <c r="S230" s="189"/>
      <c r="T230" s="189"/>
      <c r="U230" s="189"/>
      <c r="V230" s="189"/>
      <c r="W230" s="189"/>
      <c r="X230" s="189"/>
      <c r="Y230" s="189"/>
      <c r="Z230" s="189"/>
      <c r="AA230" s="189"/>
      <c r="AB230" s="189"/>
      <c r="AC230" s="189"/>
      <c r="AD230" s="189"/>
      <c r="AE230" s="189"/>
      <c r="AF230" s="189"/>
      <c r="AG230" s="189"/>
      <c r="AH230" s="189"/>
      <c r="AI230" s="189"/>
      <c r="AJ230" s="189"/>
      <c r="AK230" s="189"/>
      <c r="AL230" s="189"/>
      <c r="AM230" s="189"/>
    </row>
    <row r="231" ht="15.75" customHeight="1">
      <c r="A231" s="189">
        <f t="shared" si="2"/>
        <v>223</v>
      </c>
      <c r="B231" s="190">
        <f t="shared" si="3"/>
        <v>170671.5453</v>
      </c>
      <c r="C231" s="190">
        <f t="shared" si="4"/>
        <v>1671.57082</v>
      </c>
      <c r="D231" s="190">
        <f t="shared" si="5"/>
        <v>782.2445825</v>
      </c>
      <c r="E231" s="190">
        <f t="shared" si="6"/>
        <v>889.3262374</v>
      </c>
      <c r="F231" s="190">
        <f t="shared" si="1"/>
        <v>169782.219</v>
      </c>
      <c r="G231" s="191">
        <f t="shared" si="7"/>
        <v>259167.128</v>
      </c>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row>
    <row r="232" ht="15.75" customHeight="1">
      <c r="A232" s="189">
        <f t="shared" si="2"/>
        <v>224</v>
      </c>
      <c r="B232" s="190">
        <f t="shared" si="3"/>
        <v>169782.219</v>
      </c>
      <c r="C232" s="190">
        <f t="shared" si="4"/>
        <v>1671.57082</v>
      </c>
      <c r="D232" s="190">
        <f t="shared" si="5"/>
        <v>778.1685039</v>
      </c>
      <c r="E232" s="190">
        <f t="shared" si="6"/>
        <v>893.402316</v>
      </c>
      <c r="F232" s="190">
        <f t="shared" si="1"/>
        <v>168888.8167</v>
      </c>
      <c r="G232" s="191">
        <f t="shared" si="7"/>
        <v>259806.3041</v>
      </c>
      <c r="H232" s="189"/>
      <c r="I232" s="189"/>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row>
    <row r="233" ht="15.75" customHeight="1">
      <c r="A233" s="189">
        <f t="shared" si="2"/>
        <v>225</v>
      </c>
      <c r="B233" s="190">
        <f t="shared" si="3"/>
        <v>168888.8167</v>
      </c>
      <c r="C233" s="190">
        <f t="shared" si="4"/>
        <v>1671.57082</v>
      </c>
      <c r="D233" s="190">
        <f t="shared" si="5"/>
        <v>774.0737433</v>
      </c>
      <c r="E233" s="190">
        <f t="shared" si="6"/>
        <v>897.4970766</v>
      </c>
      <c r="F233" s="190">
        <f t="shared" si="1"/>
        <v>167991.3196</v>
      </c>
      <c r="G233" s="191">
        <f t="shared" si="7"/>
        <v>260447.0565</v>
      </c>
      <c r="H233" s="189"/>
      <c r="I233" s="189"/>
      <c r="J233" s="189"/>
      <c r="K233" s="189"/>
      <c r="L233" s="189"/>
      <c r="M233" s="189"/>
      <c r="N233" s="189"/>
      <c r="O233" s="189"/>
      <c r="P233" s="189"/>
      <c r="Q233" s="189"/>
      <c r="R233" s="189"/>
      <c r="S233" s="189"/>
      <c r="T233" s="189"/>
      <c r="U233" s="189"/>
      <c r="V233" s="189"/>
      <c r="W233" s="189"/>
      <c r="X233" s="189"/>
      <c r="Y233" s="189"/>
      <c r="Z233" s="189"/>
      <c r="AA233" s="189"/>
      <c r="AB233" s="189"/>
      <c r="AC233" s="189"/>
      <c r="AD233" s="189"/>
      <c r="AE233" s="189"/>
      <c r="AF233" s="189"/>
      <c r="AG233" s="189"/>
      <c r="AH233" s="189"/>
      <c r="AI233" s="189"/>
      <c r="AJ233" s="189"/>
      <c r="AK233" s="189"/>
      <c r="AL233" s="189"/>
      <c r="AM233" s="189"/>
    </row>
    <row r="234" ht="15.75" customHeight="1">
      <c r="A234" s="189">
        <f t="shared" si="2"/>
        <v>226</v>
      </c>
      <c r="B234" s="190">
        <f t="shared" si="3"/>
        <v>167991.3196</v>
      </c>
      <c r="C234" s="190">
        <f t="shared" si="4"/>
        <v>1671.57082</v>
      </c>
      <c r="D234" s="190">
        <f t="shared" si="5"/>
        <v>769.9602151</v>
      </c>
      <c r="E234" s="190">
        <f t="shared" si="6"/>
        <v>901.6106049</v>
      </c>
      <c r="F234" s="190">
        <f t="shared" si="1"/>
        <v>167089.709</v>
      </c>
      <c r="G234" s="191">
        <f t="shared" si="7"/>
        <v>261089.3892</v>
      </c>
      <c r="H234" s="189"/>
      <c r="I234" s="189"/>
      <c r="J234" s="189"/>
      <c r="K234" s="189"/>
      <c r="L234" s="189"/>
      <c r="M234" s="189"/>
      <c r="N234" s="189"/>
      <c r="O234" s="189"/>
      <c r="P234" s="189"/>
      <c r="Q234" s="189"/>
      <c r="R234" s="189"/>
      <c r="S234" s="189"/>
      <c r="T234" s="189"/>
      <c r="U234" s="189"/>
      <c r="V234" s="189"/>
      <c r="W234" s="189"/>
      <c r="X234" s="189"/>
      <c r="Y234" s="189"/>
      <c r="Z234" s="189"/>
      <c r="AA234" s="189"/>
      <c r="AB234" s="189"/>
      <c r="AC234" s="189"/>
      <c r="AD234" s="189"/>
      <c r="AE234" s="189"/>
      <c r="AF234" s="189"/>
      <c r="AG234" s="189"/>
      <c r="AH234" s="189"/>
      <c r="AI234" s="189"/>
      <c r="AJ234" s="189"/>
      <c r="AK234" s="189"/>
      <c r="AL234" s="189"/>
      <c r="AM234" s="189"/>
    </row>
    <row r="235" ht="15.75" customHeight="1">
      <c r="A235" s="189">
        <f t="shared" si="2"/>
        <v>227</v>
      </c>
      <c r="B235" s="190">
        <f t="shared" si="3"/>
        <v>167089.709</v>
      </c>
      <c r="C235" s="190">
        <f t="shared" si="4"/>
        <v>1671.57082</v>
      </c>
      <c r="D235" s="190">
        <f t="shared" si="5"/>
        <v>765.8278331</v>
      </c>
      <c r="E235" s="190">
        <f t="shared" si="6"/>
        <v>905.7429868</v>
      </c>
      <c r="F235" s="190">
        <f t="shared" si="1"/>
        <v>166183.9661</v>
      </c>
      <c r="G235" s="191">
        <f t="shared" si="7"/>
        <v>261733.3061</v>
      </c>
      <c r="H235" s="189"/>
      <c r="I235" s="189"/>
      <c r="J235" s="189"/>
      <c r="K235" s="189"/>
      <c r="L235" s="189"/>
      <c r="M235" s="189"/>
      <c r="N235" s="189"/>
      <c r="O235" s="189"/>
      <c r="P235" s="189"/>
      <c r="Q235" s="189"/>
      <c r="R235" s="189"/>
      <c r="S235" s="189"/>
      <c r="T235" s="189"/>
      <c r="U235" s="189"/>
      <c r="V235" s="189"/>
      <c r="W235" s="189"/>
      <c r="X235" s="189"/>
      <c r="Y235" s="189"/>
      <c r="Z235" s="189"/>
      <c r="AA235" s="189"/>
      <c r="AB235" s="189"/>
      <c r="AC235" s="189"/>
      <c r="AD235" s="189"/>
      <c r="AE235" s="189"/>
      <c r="AF235" s="189"/>
      <c r="AG235" s="189"/>
      <c r="AH235" s="189"/>
      <c r="AI235" s="189"/>
      <c r="AJ235" s="189"/>
      <c r="AK235" s="189"/>
      <c r="AL235" s="189"/>
      <c r="AM235" s="189"/>
    </row>
    <row r="236" ht="15.75" customHeight="1">
      <c r="A236" s="189">
        <f t="shared" si="2"/>
        <v>228</v>
      </c>
      <c r="B236" s="190">
        <f t="shared" si="3"/>
        <v>166183.9661</v>
      </c>
      <c r="C236" s="190">
        <f t="shared" si="4"/>
        <v>1671.57082</v>
      </c>
      <c r="D236" s="190">
        <f t="shared" si="5"/>
        <v>761.6765111</v>
      </c>
      <c r="E236" s="190">
        <f t="shared" si="6"/>
        <v>909.8943089</v>
      </c>
      <c r="F236" s="190">
        <f t="shared" si="1"/>
        <v>165274.0717</v>
      </c>
      <c r="G236" s="191">
        <f t="shared" si="7"/>
        <v>262378.811</v>
      </c>
      <c r="H236" s="189"/>
      <c r="I236" s="189"/>
      <c r="J236" s="189"/>
      <c r="K236" s="189"/>
      <c r="L236" s="189"/>
      <c r="M236" s="189"/>
      <c r="N236" s="189"/>
      <c r="O236" s="189"/>
      <c r="P236" s="189"/>
      <c r="Q236" s="189"/>
      <c r="R236" s="189"/>
      <c r="S236" s="189"/>
      <c r="T236" s="189"/>
      <c r="U236" s="189"/>
      <c r="V236" s="189"/>
      <c r="W236" s="189"/>
      <c r="X236" s="189"/>
      <c r="Y236" s="189"/>
      <c r="Z236" s="189"/>
      <c r="AA236" s="189"/>
      <c r="AB236" s="189"/>
      <c r="AC236" s="189"/>
      <c r="AD236" s="189"/>
      <c r="AE236" s="189"/>
      <c r="AF236" s="189"/>
      <c r="AG236" s="189"/>
      <c r="AH236" s="189"/>
      <c r="AI236" s="189"/>
      <c r="AJ236" s="189"/>
      <c r="AK236" s="189"/>
      <c r="AL236" s="189"/>
      <c r="AM236" s="189"/>
    </row>
    <row r="237" ht="15.75" customHeight="1">
      <c r="A237" s="189">
        <f t="shared" si="2"/>
        <v>229</v>
      </c>
      <c r="B237" s="190">
        <f t="shared" si="3"/>
        <v>165274.0717</v>
      </c>
      <c r="C237" s="190">
        <f t="shared" si="4"/>
        <v>1671.57082</v>
      </c>
      <c r="D237" s="190">
        <f t="shared" si="5"/>
        <v>757.5061622</v>
      </c>
      <c r="E237" s="190">
        <f t="shared" si="6"/>
        <v>914.0646578</v>
      </c>
      <c r="F237" s="190">
        <f t="shared" si="1"/>
        <v>164360.0071</v>
      </c>
      <c r="G237" s="191">
        <f t="shared" si="7"/>
        <v>263025.908</v>
      </c>
      <c r="H237" s="189"/>
      <c r="I237" s="189"/>
      <c r="J237" s="189"/>
      <c r="K237" s="189"/>
      <c r="L237" s="189"/>
      <c r="M237" s="189"/>
      <c r="N237" s="189"/>
      <c r="O237" s="189"/>
      <c r="P237" s="189"/>
      <c r="Q237" s="189"/>
      <c r="R237" s="189"/>
      <c r="S237" s="189"/>
      <c r="T237" s="189"/>
      <c r="U237" s="189"/>
      <c r="V237" s="189"/>
      <c r="W237" s="189"/>
      <c r="X237" s="189"/>
      <c r="Y237" s="189"/>
      <c r="Z237" s="189"/>
      <c r="AA237" s="189"/>
      <c r="AB237" s="189"/>
      <c r="AC237" s="189"/>
      <c r="AD237" s="189"/>
      <c r="AE237" s="189"/>
      <c r="AF237" s="189"/>
      <c r="AG237" s="189"/>
      <c r="AH237" s="189"/>
      <c r="AI237" s="189"/>
      <c r="AJ237" s="189"/>
      <c r="AK237" s="189"/>
      <c r="AL237" s="189"/>
      <c r="AM237" s="189"/>
    </row>
    <row r="238" ht="15.75" customHeight="1">
      <c r="A238" s="189">
        <f t="shared" si="2"/>
        <v>230</v>
      </c>
      <c r="B238" s="190">
        <f t="shared" si="3"/>
        <v>164360.0071</v>
      </c>
      <c r="C238" s="190">
        <f t="shared" si="4"/>
        <v>1671.57082</v>
      </c>
      <c r="D238" s="190">
        <f t="shared" si="5"/>
        <v>753.3166992</v>
      </c>
      <c r="E238" s="190">
        <f t="shared" si="6"/>
        <v>918.2541208</v>
      </c>
      <c r="F238" s="190">
        <f t="shared" si="1"/>
        <v>163441.753</v>
      </c>
      <c r="G238" s="191">
        <f t="shared" si="7"/>
        <v>263674.6008</v>
      </c>
      <c r="H238" s="189"/>
      <c r="I238" s="189"/>
      <c r="J238" s="189"/>
      <c r="K238" s="189"/>
      <c r="L238" s="189"/>
      <c r="M238" s="189"/>
      <c r="N238" s="189"/>
      <c r="O238" s="189"/>
      <c r="P238" s="189"/>
      <c r="Q238" s="189"/>
      <c r="R238" s="189"/>
      <c r="S238" s="189"/>
      <c r="T238" s="189"/>
      <c r="U238" s="189"/>
      <c r="V238" s="189"/>
      <c r="W238" s="189"/>
      <c r="X238" s="189"/>
      <c r="Y238" s="189"/>
      <c r="Z238" s="189"/>
      <c r="AA238" s="189"/>
      <c r="AB238" s="189"/>
      <c r="AC238" s="189"/>
      <c r="AD238" s="189"/>
      <c r="AE238" s="189"/>
      <c r="AF238" s="189"/>
      <c r="AG238" s="189"/>
      <c r="AH238" s="189"/>
      <c r="AI238" s="189"/>
      <c r="AJ238" s="189"/>
      <c r="AK238" s="189"/>
      <c r="AL238" s="189"/>
      <c r="AM238" s="189"/>
    </row>
    <row r="239" ht="15.75" customHeight="1">
      <c r="A239" s="189">
        <f t="shared" si="2"/>
        <v>231</v>
      </c>
      <c r="B239" s="190">
        <f t="shared" si="3"/>
        <v>163441.753</v>
      </c>
      <c r="C239" s="190">
        <f t="shared" si="4"/>
        <v>1671.57082</v>
      </c>
      <c r="D239" s="190">
        <f t="shared" si="5"/>
        <v>749.1080344</v>
      </c>
      <c r="E239" s="190">
        <f t="shared" si="6"/>
        <v>922.4627855</v>
      </c>
      <c r="F239" s="190">
        <f t="shared" si="1"/>
        <v>162519.2902</v>
      </c>
      <c r="G239" s="191">
        <f t="shared" si="7"/>
        <v>264324.8935</v>
      </c>
      <c r="H239" s="189"/>
      <c r="I239" s="189"/>
      <c r="J239" s="189"/>
      <c r="K239" s="189"/>
      <c r="L239" s="189"/>
      <c r="M239" s="189"/>
      <c r="N239" s="189"/>
      <c r="O239" s="189"/>
      <c r="P239" s="189"/>
      <c r="Q239" s="189"/>
      <c r="R239" s="189"/>
      <c r="S239" s="189"/>
      <c r="T239" s="189"/>
      <c r="U239" s="189"/>
      <c r="V239" s="189"/>
      <c r="W239" s="189"/>
      <c r="X239" s="189"/>
      <c r="Y239" s="189"/>
      <c r="Z239" s="189"/>
      <c r="AA239" s="189"/>
      <c r="AB239" s="189"/>
      <c r="AC239" s="189"/>
      <c r="AD239" s="189"/>
      <c r="AE239" s="189"/>
      <c r="AF239" s="189"/>
      <c r="AG239" s="189"/>
      <c r="AH239" s="189"/>
      <c r="AI239" s="189"/>
      <c r="AJ239" s="189"/>
      <c r="AK239" s="189"/>
      <c r="AL239" s="189"/>
      <c r="AM239" s="189"/>
    </row>
    <row r="240" ht="15.75" customHeight="1">
      <c r="A240" s="189">
        <f t="shared" si="2"/>
        <v>232</v>
      </c>
      <c r="B240" s="190">
        <f t="shared" si="3"/>
        <v>162519.2902</v>
      </c>
      <c r="C240" s="190">
        <f t="shared" si="4"/>
        <v>1671.57082</v>
      </c>
      <c r="D240" s="190">
        <f t="shared" si="5"/>
        <v>744.88008</v>
      </c>
      <c r="E240" s="190">
        <f t="shared" si="6"/>
        <v>926.69074</v>
      </c>
      <c r="F240" s="190">
        <f t="shared" si="1"/>
        <v>161592.5994</v>
      </c>
      <c r="G240" s="191">
        <f t="shared" si="7"/>
        <v>264976.79</v>
      </c>
      <c r="H240" s="189"/>
      <c r="I240" s="189"/>
      <c r="J240" s="189"/>
      <c r="K240" s="189"/>
      <c r="L240" s="189"/>
      <c r="M240" s="189"/>
      <c r="N240" s="189"/>
      <c r="O240" s="189"/>
      <c r="P240" s="189"/>
      <c r="Q240" s="189"/>
      <c r="R240" s="189"/>
      <c r="S240" s="189"/>
      <c r="T240" s="189"/>
      <c r="U240" s="189"/>
      <c r="V240" s="189"/>
      <c r="W240" s="189"/>
      <c r="X240" s="189"/>
      <c r="Y240" s="189"/>
      <c r="Z240" s="189"/>
      <c r="AA240" s="189"/>
      <c r="AB240" s="189"/>
      <c r="AC240" s="189"/>
      <c r="AD240" s="189"/>
      <c r="AE240" s="189"/>
      <c r="AF240" s="189"/>
      <c r="AG240" s="189"/>
      <c r="AH240" s="189"/>
      <c r="AI240" s="189"/>
      <c r="AJ240" s="189"/>
      <c r="AK240" s="189"/>
      <c r="AL240" s="189"/>
      <c r="AM240" s="189"/>
    </row>
    <row r="241" ht="15.75" customHeight="1">
      <c r="A241" s="189">
        <f t="shared" si="2"/>
        <v>233</v>
      </c>
      <c r="B241" s="190">
        <f t="shared" si="3"/>
        <v>161592.5994</v>
      </c>
      <c r="C241" s="190">
        <f t="shared" si="4"/>
        <v>1671.57082</v>
      </c>
      <c r="D241" s="190">
        <f t="shared" si="5"/>
        <v>740.6327475</v>
      </c>
      <c r="E241" s="190">
        <f t="shared" si="6"/>
        <v>930.9380725</v>
      </c>
      <c r="F241" s="190">
        <f t="shared" si="1"/>
        <v>160661.6614</v>
      </c>
      <c r="G241" s="191">
        <f t="shared" si="7"/>
        <v>265630.2942</v>
      </c>
      <c r="H241" s="189"/>
      <c r="I241" s="189"/>
      <c r="J241" s="189"/>
      <c r="K241" s="189"/>
      <c r="L241" s="189"/>
      <c r="M241" s="189"/>
      <c r="N241" s="189"/>
      <c r="O241" s="189"/>
      <c r="P241" s="189"/>
      <c r="Q241" s="189"/>
      <c r="R241" s="189"/>
      <c r="S241" s="189"/>
      <c r="T241" s="189"/>
      <c r="U241" s="189"/>
      <c r="V241" s="189"/>
      <c r="W241" s="189"/>
      <c r="X241" s="189"/>
      <c r="Y241" s="189"/>
      <c r="Z241" s="189"/>
      <c r="AA241" s="189"/>
      <c r="AB241" s="189"/>
      <c r="AC241" s="189"/>
      <c r="AD241" s="189"/>
      <c r="AE241" s="189"/>
      <c r="AF241" s="189"/>
      <c r="AG241" s="189"/>
      <c r="AH241" s="189"/>
      <c r="AI241" s="189"/>
      <c r="AJ241" s="189"/>
      <c r="AK241" s="189"/>
      <c r="AL241" s="189"/>
      <c r="AM241" s="189"/>
    </row>
    <row r="242" ht="15.75" customHeight="1">
      <c r="A242" s="189">
        <f t="shared" si="2"/>
        <v>234</v>
      </c>
      <c r="B242" s="190">
        <f t="shared" si="3"/>
        <v>160661.6614</v>
      </c>
      <c r="C242" s="190">
        <f t="shared" si="4"/>
        <v>1671.57082</v>
      </c>
      <c r="D242" s="190">
        <f t="shared" si="5"/>
        <v>736.365948</v>
      </c>
      <c r="E242" s="190">
        <f t="shared" si="6"/>
        <v>935.204872</v>
      </c>
      <c r="F242" s="190">
        <f t="shared" si="1"/>
        <v>159726.4565</v>
      </c>
      <c r="G242" s="191">
        <f t="shared" si="7"/>
        <v>266285.4102</v>
      </c>
      <c r="H242" s="189"/>
      <c r="I242" s="189"/>
      <c r="J242" s="189"/>
      <c r="K242" s="189"/>
      <c r="L242" s="189"/>
      <c r="M242" s="189"/>
      <c r="N242" s="189"/>
      <c r="O242" s="189"/>
      <c r="P242" s="189"/>
      <c r="Q242" s="189"/>
      <c r="R242" s="189"/>
      <c r="S242" s="189"/>
      <c r="T242" s="189"/>
      <c r="U242" s="189"/>
      <c r="V242" s="189"/>
      <c r="W242" s="189"/>
      <c r="X242" s="189"/>
      <c r="Y242" s="189"/>
      <c r="Z242" s="189"/>
      <c r="AA242" s="189"/>
      <c r="AB242" s="189"/>
      <c r="AC242" s="189"/>
      <c r="AD242" s="189"/>
      <c r="AE242" s="189"/>
      <c r="AF242" s="189"/>
      <c r="AG242" s="189"/>
      <c r="AH242" s="189"/>
      <c r="AI242" s="189"/>
      <c r="AJ242" s="189"/>
      <c r="AK242" s="189"/>
      <c r="AL242" s="189"/>
      <c r="AM242" s="189"/>
    </row>
    <row r="243" ht="15.75" customHeight="1">
      <c r="A243" s="189">
        <f t="shared" si="2"/>
        <v>235</v>
      </c>
      <c r="B243" s="190">
        <f t="shared" si="3"/>
        <v>159726.4565</v>
      </c>
      <c r="C243" s="190">
        <f t="shared" si="4"/>
        <v>1671.57082</v>
      </c>
      <c r="D243" s="190">
        <f t="shared" si="5"/>
        <v>732.0795923</v>
      </c>
      <c r="E243" s="190">
        <f t="shared" si="6"/>
        <v>939.4912277</v>
      </c>
      <c r="F243" s="190">
        <f t="shared" si="1"/>
        <v>158786.9653</v>
      </c>
      <c r="G243" s="191">
        <f t="shared" si="7"/>
        <v>266942.1419</v>
      </c>
      <c r="H243" s="189"/>
      <c r="I243" s="189"/>
      <c r="J243" s="189"/>
      <c r="K243" s="189"/>
      <c r="L243" s="189"/>
      <c r="M243" s="189"/>
      <c r="N243" s="189"/>
      <c r="O243" s="189"/>
      <c r="P243" s="189"/>
      <c r="Q243" s="189"/>
      <c r="R243" s="189"/>
      <c r="S243" s="189"/>
      <c r="T243" s="189"/>
      <c r="U243" s="189"/>
      <c r="V243" s="189"/>
      <c r="W243" s="189"/>
      <c r="X243" s="189"/>
      <c r="Y243" s="189"/>
      <c r="Z243" s="189"/>
      <c r="AA243" s="189"/>
      <c r="AB243" s="189"/>
      <c r="AC243" s="189"/>
      <c r="AD243" s="189"/>
      <c r="AE243" s="189"/>
      <c r="AF243" s="189"/>
      <c r="AG243" s="189"/>
      <c r="AH243" s="189"/>
      <c r="AI243" s="189"/>
      <c r="AJ243" s="189"/>
      <c r="AK243" s="189"/>
      <c r="AL243" s="189"/>
      <c r="AM243" s="189"/>
    </row>
    <row r="244" ht="15.75" customHeight="1">
      <c r="A244" s="189">
        <f t="shared" si="2"/>
        <v>236</v>
      </c>
      <c r="B244" s="190">
        <f t="shared" si="3"/>
        <v>158786.9653</v>
      </c>
      <c r="C244" s="190">
        <f t="shared" si="4"/>
        <v>1671.57082</v>
      </c>
      <c r="D244" s="190">
        <f t="shared" si="5"/>
        <v>727.7735908</v>
      </c>
      <c r="E244" s="190">
        <f t="shared" si="6"/>
        <v>943.7972291</v>
      </c>
      <c r="F244" s="190">
        <f t="shared" si="1"/>
        <v>157843.168</v>
      </c>
      <c r="G244" s="191">
        <f t="shared" si="7"/>
        <v>267600.4932</v>
      </c>
      <c r="H244" s="189"/>
      <c r="I244" s="189"/>
      <c r="J244" s="189"/>
      <c r="K244" s="189"/>
      <c r="L244" s="189"/>
      <c r="M244" s="189"/>
      <c r="N244" s="189"/>
      <c r="O244" s="189"/>
      <c r="P244" s="189"/>
      <c r="Q244" s="189"/>
      <c r="R244" s="189"/>
      <c r="S244" s="189"/>
      <c r="T244" s="189"/>
      <c r="U244" s="189"/>
      <c r="V244" s="189"/>
      <c r="W244" s="189"/>
      <c r="X244" s="189"/>
      <c r="Y244" s="189"/>
      <c r="Z244" s="189"/>
      <c r="AA244" s="189"/>
      <c r="AB244" s="189"/>
      <c r="AC244" s="189"/>
      <c r="AD244" s="189"/>
      <c r="AE244" s="189"/>
      <c r="AF244" s="189"/>
      <c r="AG244" s="189"/>
      <c r="AH244" s="189"/>
      <c r="AI244" s="189"/>
      <c r="AJ244" s="189"/>
      <c r="AK244" s="189"/>
      <c r="AL244" s="189"/>
      <c r="AM244" s="189"/>
    </row>
    <row r="245" ht="15.75" customHeight="1">
      <c r="A245" s="189">
        <f t="shared" si="2"/>
        <v>237</v>
      </c>
      <c r="B245" s="190">
        <f t="shared" si="3"/>
        <v>157843.168</v>
      </c>
      <c r="C245" s="190">
        <f t="shared" si="4"/>
        <v>1671.57082</v>
      </c>
      <c r="D245" s="190">
        <f t="shared" si="5"/>
        <v>723.4478535</v>
      </c>
      <c r="E245" s="190">
        <f t="shared" si="6"/>
        <v>948.1229664</v>
      </c>
      <c r="F245" s="190">
        <f t="shared" si="1"/>
        <v>156895.0451</v>
      </c>
      <c r="G245" s="191">
        <f t="shared" si="7"/>
        <v>268260.4682</v>
      </c>
      <c r="H245" s="189"/>
      <c r="I245" s="189"/>
      <c r="J245" s="189"/>
      <c r="K245" s="189"/>
      <c r="L245" s="189"/>
      <c r="M245" s="189"/>
      <c r="N245" s="189"/>
      <c r="O245" s="189"/>
      <c r="P245" s="189"/>
      <c r="Q245" s="189"/>
      <c r="R245" s="189"/>
      <c r="S245" s="189"/>
      <c r="T245" s="189"/>
      <c r="U245" s="189"/>
      <c r="V245" s="189"/>
      <c r="W245" s="189"/>
      <c r="X245" s="189"/>
      <c r="Y245" s="189"/>
      <c r="Z245" s="189"/>
      <c r="AA245" s="189"/>
      <c r="AB245" s="189"/>
      <c r="AC245" s="189"/>
      <c r="AD245" s="189"/>
      <c r="AE245" s="189"/>
      <c r="AF245" s="189"/>
      <c r="AG245" s="189"/>
      <c r="AH245" s="189"/>
      <c r="AI245" s="189"/>
      <c r="AJ245" s="189"/>
      <c r="AK245" s="189"/>
      <c r="AL245" s="189"/>
      <c r="AM245" s="189"/>
    </row>
    <row r="246" ht="15.75" customHeight="1">
      <c r="A246" s="189">
        <f t="shared" si="2"/>
        <v>238</v>
      </c>
      <c r="B246" s="190">
        <f t="shared" si="3"/>
        <v>156895.0451</v>
      </c>
      <c r="C246" s="190">
        <f t="shared" si="4"/>
        <v>1671.57082</v>
      </c>
      <c r="D246" s="190">
        <f t="shared" si="5"/>
        <v>719.1022899</v>
      </c>
      <c r="E246" s="190">
        <f t="shared" si="6"/>
        <v>952.46853</v>
      </c>
      <c r="F246" s="190">
        <f t="shared" si="1"/>
        <v>155942.5765</v>
      </c>
      <c r="G246" s="191">
        <f t="shared" si="7"/>
        <v>268922.0709</v>
      </c>
      <c r="H246" s="189"/>
      <c r="I246" s="189"/>
      <c r="J246" s="189"/>
      <c r="K246" s="189"/>
      <c r="L246" s="189"/>
      <c r="M246" s="189"/>
      <c r="N246" s="189"/>
      <c r="O246" s="189"/>
      <c r="P246" s="189"/>
      <c r="Q246" s="189"/>
      <c r="R246" s="189"/>
      <c r="S246" s="189"/>
      <c r="T246" s="189"/>
      <c r="U246" s="189"/>
      <c r="V246" s="189"/>
      <c r="W246" s="189"/>
      <c r="X246" s="189"/>
      <c r="Y246" s="189"/>
      <c r="Z246" s="189"/>
      <c r="AA246" s="189"/>
      <c r="AB246" s="189"/>
      <c r="AC246" s="189"/>
      <c r="AD246" s="189"/>
      <c r="AE246" s="189"/>
      <c r="AF246" s="189"/>
      <c r="AG246" s="189"/>
      <c r="AH246" s="189"/>
      <c r="AI246" s="189"/>
      <c r="AJ246" s="189"/>
      <c r="AK246" s="189"/>
      <c r="AL246" s="189"/>
      <c r="AM246" s="189"/>
    </row>
    <row r="247" ht="15.75" customHeight="1">
      <c r="A247" s="189">
        <f t="shared" si="2"/>
        <v>239</v>
      </c>
      <c r="B247" s="190">
        <f t="shared" si="3"/>
        <v>155942.5765</v>
      </c>
      <c r="C247" s="190">
        <f t="shared" si="4"/>
        <v>1671.57082</v>
      </c>
      <c r="D247" s="190">
        <f t="shared" si="5"/>
        <v>714.7368092</v>
      </c>
      <c r="E247" s="190">
        <f t="shared" si="6"/>
        <v>956.8340108</v>
      </c>
      <c r="F247" s="190">
        <f t="shared" si="1"/>
        <v>154985.7425</v>
      </c>
      <c r="G247" s="191">
        <f t="shared" si="7"/>
        <v>269585.3053</v>
      </c>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row>
    <row r="248" ht="15.75" customHeight="1">
      <c r="A248" s="189">
        <f t="shared" si="2"/>
        <v>240</v>
      </c>
      <c r="B248" s="190">
        <f t="shared" si="3"/>
        <v>154985.7425</v>
      </c>
      <c r="C248" s="190">
        <f t="shared" si="4"/>
        <v>1671.57082</v>
      </c>
      <c r="D248" s="190">
        <f t="shared" si="5"/>
        <v>710.35132</v>
      </c>
      <c r="E248" s="190">
        <f t="shared" si="6"/>
        <v>961.2195</v>
      </c>
      <c r="F248" s="190">
        <f t="shared" si="1"/>
        <v>154024.523</v>
      </c>
      <c r="G248" s="191">
        <f t="shared" si="7"/>
        <v>270250.1754</v>
      </c>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row>
    <row r="249" ht="15.75" customHeight="1">
      <c r="A249" s="189">
        <f t="shared" si="2"/>
        <v>241</v>
      </c>
      <c r="B249" s="190">
        <f t="shared" si="3"/>
        <v>154024.523</v>
      </c>
      <c r="C249" s="190">
        <f t="shared" si="4"/>
        <v>1671.57082</v>
      </c>
      <c r="D249" s="190">
        <f t="shared" si="5"/>
        <v>705.9457306</v>
      </c>
      <c r="E249" s="190">
        <f t="shared" si="6"/>
        <v>965.6250894</v>
      </c>
      <c r="F249" s="190">
        <f t="shared" si="1"/>
        <v>153058.8979</v>
      </c>
      <c r="G249" s="191">
        <f t="shared" si="7"/>
        <v>270916.6852</v>
      </c>
      <c r="H249" s="189"/>
      <c r="I249" s="189"/>
      <c r="J249" s="189"/>
      <c r="K249" s="189"/>
      <c r="L249" s="189"/>
      <c r="M249" s="189"/>
      <c r="N249" s="189"/>
      <c r="O249" s="189"/>
      <c r="P249" s="189"/>
      <c r="Q249" s="189"/>
      <c r="R249" s="189"/>
      <c r="S249" s="189"/>
      <c r="T249" s="189"/>
      <c r="U249" s="189"/>
      <c r="V249" s="189"/>
      <c r="W249" s="189"/>
      <c r="X249" s="189"/>
      <c r="Y249" s="189"/>
      <c r="Z249" s="189"/>
      <c r="AA249" s="189"/>
      <c r="AB249" s="189"/>
      <c r="AC249" s="189"/>
      <c r="AD249" s="189"/>
      <c r="AE249" s="189"/>
      <c r="AF249" s="189"/>
      <c r="AG249" s="189"/>
      <c r="AH249" s="189"/>
      <c r="AI249" s="189"/>
      <c r="AJ249" s="189"/>
      <c r="AK249" s="189"/>
      <c r="AL249" s="189"/>
      <c r="AM249" s="189"/>
    </row>
    <row r="250" ht="15.75" customHeight="1">
      <c r="A250" s="189">
        <f t="shared" si="2"/>
        <v>242</v>
      </c>
      <c r="B250" s="190">
        <f t="shared" si="3"/>
        <v>153058.8979</v>
      </c>
      <c r="C250" s="190">
        <f t="shared" si="4"/>
        <v>1671.57082</v>
      </c>
      <c r="D250" s="190">
        <f t="shared" si="5"/>
        <v>701.5199489</v>
      </c>
      <c r="E250" s="190">
        <f t="shared" si="6"/>
        <v>970.050871</v>
      </c>
      <c r="F250" s="190">
        <f t="shared" si="1"/>
        <v>152088.8471</v>
      </c>
      <c r="G250" s="191">
        <f t="shared" si="7"/>
        <v>271584.8388</v>
      </c>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row>
    <row r="251" ht="15.75" customHeight="1">
      <c r="A251" s="189">
        <f t="shared" si="2"/>
        <v>243</v>
      </c>
      <c r="B251" s="190">
        <f t="shared" si="3"/>
        <v>152088.8471</v>
      </c>
      <c r="C251" s="190">
        <f t="shared" si="4"/>
        <v>1671.57082</v>
      </c>
      <c r="D251" s="190">
        <f t="shared" si="5"/>
        <v>697.0738824</v>
      </c>
      <c r="E251" s="190">
        <f t="shared" si="6"/>
        <v>974.4969375</v>
      </c>
      <c r="F251" s="190">
        <f t="shared" si="1"/>
        <v>151114.3501</v>
      </c>
      <c r="G251" s="191">
        <f t="shared" si="7"/>
        <v>272254.6403</v>
      </c>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row>
    <row r="252" ht="15.75" customHeight="1">
      <c r="A252" s="189">
        <f t="shared" si="2"/>
        <v>244</v>
      </c>
      <c r="B252" s="190">
        <f t="shared" si="3"/>
        <v>151114.3501</v>
      </c>
      <c r="C252" s="190">
        <f t="shared" si="4"/>
        <v>1671.57082</v>
      </c>
      <c r="D252" s="190">
        <f t="shared" si="5"/>
        <v>692.6074381</v>
      </c>
      <c r="E252" s="190">
        <f t="shared" si="6"/>
        <v>978.9633818</v>
      </c>
      <c r="F252" s="190">
        <f t="shared" si="1"/>
        <v>150135.3868</v>
      </c>
      <c r="G252" s="191">
        <f t="shared" si="7"/>
        <v>272926.0937</v>
      </c>
      <c r="H252" s="189"/>
      <c r="I252" s="189"/>
      <c r="J252" s="189"/>
      <c r="K252" s="189"/>
      <c r="L252" s="189"/>
      <c r="M252" s="189"/>
      <c r="N252" s="189"/>
      <c r="O252" s="189"/>
      <c r="P252" s="189"/>
      <c r="Q252" s="189"/>
      <c r="R252" s="189"/>
      <c r="S252" s="189"/>
      <c r="T252" s="189"/>
      <c r="U252" s="189"/>
      <c r="V252" s="189"/>
      <c r="W252" s="189"/>
      <c r="X252" s="189"/>
      <c r="Y252" s="189"/>
      <c r="Z252" s="189"/>
      <c r="AA252" s="189"/>
      <c r="AB252" s="189"/>
      <c r="AC252" s="189"/>
      <c r="AD252" s="189"/>
      <c r="AE252" s="189"/>
      <c r="AF252" s="189"/>
      <c r="AG252" s="189"/>
      <c r="AH252" s="189"/>
      <c r="AI252" s="189"/>
      <c r="AJ252" s="189"/>
      <c r="AK252" s="189"/>
      <c r="AL252" s="189"/>
      <c r="AM252" s="189"/>
    </row>
    <row r="253" ht="15.75" customHeight="1">
      <c r="A253" s="189">
        <f t="shared" si="2"/>
        <v>245</v>
      </c>
      <c r="B253" s="190">
        <f t="shared" si="3"/>
        <v>150135.3868</v>
      </c>
      <c r="C253" s="190">
        <f t="shared" si="4"/>
        <v>1671.57082</v>
      </c>
      <c r="D253" s="190">
        <f t="shared" si="5"/>
        <v>688.1205226</v>
      </c>
      <c r="E253" s="190">
        <f t="shared" si="6"/>
        <v>983.4502973</v>
      </c>
      <c r="F253" s="190">
        <f t="shared" si="1"/>
        <v>149151.9365</v>
      </c>
      <c r="G253" s="191">
        <f t="shared" si="7"/>
        <v>273599.2031</v>
      </c>
      <c r="H253" s="189"/>
      <c r="I253" s="189"/>
      <c r="J253" s="189"/>
      <c r="K253" s="189"/>
      <c r="L253" s="189"/>
      <c r="M253" s="189"/>
      <c r="N253" s="189"/>
      <c r="O253" s="189"/>
      <c r="P253" s="189"/>
      <c r="Q253" s="189"/>
      <c r="R253" s="189"/>
      <c r="S253" s="189"/>
      <c r="T253" s="189"/>
      <c r="U253" s="189"/>
      <c r="V253" s="189"/>
      <c r="W253" s="189"/>
      <c r="X253" s="189"/>
      <c r="Y253" s="189"/>
      <c r="Z253" s="189"/>
      <c r="AA253" s="189"/>
      <c r="AB253" s="189"/>
      <c r="AC253" s="189"/>
      <c r="AD253" s="189"/>
      <c r="AE253" s="189"/>
      <c r="AF253" s="189"/>
      <c r="AG253" s="189"/>
      <c r="AH253" s="189"/>
      <c r="AI253" s="189"/>
      <c r="AJ253" s="189"/>
      <c r="AK253" s="189"/>
      <c r="AL253" s="189"/>
      <c r="AM253" s="189"/>
    </row>
    <row r="254" ht="15.75" customHeight="1">
      <c r="A254" s="189">
        <f t="shared" si="2"/>
        <v>246</v>
      </c>
      <c r="B254" s="190">
        <f t="shared" si="3"/>
        <v>149151.9365</v>
      </c>
      <c r="C254" s="190">
        <f t="shared" si="4"/>
        <v>1671.57082</v>
      </c>
      <c r="D254" s="190">
        <f t="shared" si="5"/>
        <v>683.6130421</v>
      </c>
      <c r="E254" s="190">
        <f t="shared" si="6"/>
        <v>987.9577779</v>
      </c>
      <c r="F254" s="190">
        <f t="shared" si="1"/>
        <v>148163.9787</v>
      </c>
      <c r="G254" s="191">
        <f t="shared" si="7"/>
        <v>274273.9725</v>
      </c>
      <c r="H254" s="189"/>
      <c r="I254" s="189"/>
      <c r="J254" s="189"/>
      <c r="K254" s="189"/>
      <c r="L254" s="189"/>
      <c r="M254" s="189"/>
      <c r="N254" s="189"/>
      <c r="O254" s="189"/>
      <c r="P254" s="189"/>
      <c r="Q254" s="189"/>
      <c r="R254" s="189"/>
      <c r="S254" s="189"/>
      <c r="T254" s="189"/>
      <c r="U254" s="189"/>
      <c r="V254" s="189"/>
      <c r="W254" s="189"/>
      <c r="X254" s="189"/>
      <c r="Y254" s="189"/>
      <c r="Z254" s="189"/>
      <c r="AA254" s="189"/>
      <c r="AB254" s="189"/>
      <c r="AC254" s="189"/>
      <c r="AD254" s="189"/>
      <c r="AE254" s="189"/>
      <c r="AF254" s="189"/>
      <c r="AG254" s="189"/>
      <c r="AH254" s="189"/>
      <c r="AI254" s="189"/>
      <c r="AJ254" s="189"/>
      <c r="AK254" s="189"/>
      <c r="AL254" s="189"/>
      <c r="AM254" s="189"/>
    </row>
    <row r="255" ht="15.75" customHeight="1">
      <c r="A255" s="189">
        <f t="shared" si="2"/>
        <v>247</v>
      </c>
      <c r="B255" s="190">
        <f t="shared" si="3"/>
        <v>148163.9787</v>
      </c>
      <c r="C255" s="190">
        <f t="shared" si="4"/>
        <v>1671.57082</v>
      </c>
      <c r="D255" s="190">
        <f t="shared" si="5"/>
        <v>679.0849023</v>
      </c>
      <c r="E255" s="190">
        <f t="shared" si="6"/>
        <v>992.4859177</v>
      </c>
      <c r="F255" s="190">
        <f t="shared" si="1"/>
        <v>147171.4928</v>
      </c>
      <c r="G255" s="191">
        <f t="shared" si="7"/>
        <v>274950.4061</v>
      </c>
      <c r="H255" s="189"/>
      <c r="I255" s="189"/>
      <c r="J255" s="189"/>
      <c r="K255" s="189"/>
      <c r="L255" s="189"/>
      <c r="M255" s="189"/>
      <c r="N255" s="189"/>
      <c r="O255" s="189"/>
      <c r="P255" s="189"/>
      <c r="Q255" s="189"/>
      <c r="R255" s="189"/>
      <c r="S255" s="189"/>
      <c r="T255" s="189"/>
      <c r="U255" s="189"/>
      <c r="V255" s="189"/>
      <c r="W255" s="189"/>
      <c r="X255" s="189"/>
      <c r="Y255" s="189"/>
      <c r="Z255" s="189"/>
      <c r="AA255" s="189"/>
      <c r="AB255" s="189"/>
      <c r="AC255" s="189"/>
      <c r="AD255" s="189"/>
      <c r="AE255" s="189"/>
      <c r="AF255" s="189"/>
      <c r="AG255" s="189"/>
      <c r="AH255" s="189"/>
      <c r="AI255" s="189"/>
      <c r="AJ255" s="189"/>
      <c r="AK255" s="189"/>
      <c r="AL255" s="189"/>
      <c r="AM255" s="189"/>
    </row>
    <row r="256" ht="15.75" customHeight="1">
      <c r="A256" s="189">
        <f t="shared" si="2"/>
        <v>248</v>
      </c>
      <c r="B256" s="190">
        <f t="shared" si="3"/>
        <v>147171.4928</v>
      </c>
      <c r="C256" s="190">
        <f t="shared" si="4"/>
        <v>1671.57082</v>
      </c>
      <c r="D256" s="190">
        <f t="shared" si="5"/>
        <v>674.5360085</v>
      </c>
      <c r="E256" s="190">
        <f t="shared" si="6"/>
        <v>997.0348115</v>
      </c>
      <c r="F256" s="190">
        <f t="shared" si="1"/>
        <v>146174.458</v>
      </c>
      <c r="G256" s="191">
        <f t="shared" si="7"/>
        <v>275628.508</v>
      </c>
      <c r="H256" s="189"/>
      <c r="I256" s="189"/>
      <c r="J256" s="189"/>
      <c r="K256" s="189"/>
      <c r="L256" s="189"/>
      <c r="M256" s="189"/>
      <c r="N256" s="189"/>
      <c r="O256" s="189"/>
      <c r="P256" s="189"/>
      <c r="Q256" s="189"/>
      <c r="R256" s="189"/>
      <c r="S256" s="189"/>
      <c r="T256" s="189"/>
      <c r="U256" s="189"/>
      <c r="V256" s="189"/>
      <c r="W256" s="189"/>
      <c r="X256" s="189"/>
      <c r="Y256" s="189"/>
      <c r="Z256" s="189"/>
      <c r="AA256" s="189"/>
      <c r="AB256" s="189"/>
      <c r="AC256" s="189"/>
      <c r="AD256" s="189"/>
      <c r="AE256" s="189"/>
      <c r="AF256" s="189"/>
      <c r="AG256" s="189"/>
      <c r="AH256" s="189"/>
      <c r="AI256" s="189"/>
      <c r="AJ256" s="189"/>
      <c r="AK256" s="189"/>
      <c r="AL256" s="189"/>
      <c r="AM256" s="189"/>
    </row>
    <row r="257" ht="15.75" customHeight="1">
      <c r="A257" s="189">
        <f t="shared" si="2"/>
        <v>249</v>
      </c>
      <c r="B257" s="190">
        <f t="shared" si="3"/>
        <v>146174.458</v>
      </c>
      <c r="C257" s="190">
        <f t="shared" si="4"/>
        <v>1671.57082</v>
      </c>
      <c r="D257" s="190">
        <f t="shared" si="5"/>
        <v>669.9662656</v>
      </c>
      <c r="E257" s="190">
        <f t="shared" si="6"/>
        <v>1001.604554</v>
      </c>
      <c r="F257" s="190">
        <f t="shared" si="1"/>
        <v>145172.8534</v>
      </c>
      <c r="G257" s="191">
        <f t="shared" si="7"/>
        <v>276308.2823</v>
      </c>
      <c r="H257" s="189"/>
      <c r="I257" s="189"/>
      <c r="J257" s="189"/>
      <c r="K257" s="189"/>
      <c r="L257" s="189"/>
      <c r="M257" s="189"/>
      <c r="N257" s="189"/>
      <c r="O257" s="189"/>
      <c r="P257" s="189"/>
      <c r="Q257" s="189"/>
      <c r="R257" s="189"/>
      <c r="S257" s="189"/>
      <c r="T257" s="189"/>
      <c r="U257" s="189"/>
      <c r="V257" s="189"/>
      <c r="W257" s="189"/>
      <c r="X257" s="189"/>
      <c r="Y257" s="189"/>
      <c r="Z257" s="189"/>
      <c r="AA257" s="189"/>
      <c r="AB257" s="189"/>
      <c r="AC257" s="189"/>
      <c r="AD257" s="189"/>
      <c r="AE257" s="189"/>
      <c r="AF257" s="189"/>
      <c r="AG257" s="189"/>
      <c r="AH257" s="189"/>
      <c r="AI257" s="189"/>
      <c r="AJ257" s="189"/>
      <c r="AK257" s="189"/>
      <c r="AL257" s="189"/>
      <c r="AM257" s="189"/>
    </row>
    <row r="258" ht="15.75" customHeight="1">
      <c r="A258" s="189">
        <f t="shared" si="2"/>
        <v>250</v>
      </c>
      <c r="B258" s="190">
        <f t="shared" si="3"/>
        <v>145172.8534</v>
      </c>
      <c r="C258" s="190">
        <f t="shared" si="4"/>
        <v>1671.57082</v>
      </c>
      <c r="D258" s="190">
        <f t="shared" si="5"/>
        <v>665.3755781</v>
      </c>
      <c r="E258" s="190">
        <f t="shared" si="6"/>
        <v>1006.195242</v>
      </c>
      <c r="F258" s="190">
        <f t="shared" si="1"/>
        <v>144166.6582</v>
      </c>
      <c r="G258" s="191">
        <f t="shared" si="7"/>
        <v>276989.733</v>
      </c>
      <c r="H258" s="189"/>
      <c r="I258" s="189"/>
      <c r="J258" s="189"/>
      <c r="K258" s="189"/>
      <c r="L258" s="189"/>
      <c r="M258" s="189"/>
      <c r="N258" s="189"/>
      <c r="O258" s="189"/>
      <c r="P258" s="189"/>
      <c r="Q258" s="189"/>
      <c r="R258" s="189"/>
      <c r="S258" s="189"/>
      <c r="T258" s="189"/>
      <c r="U258" s="189"/>
      <c r="V258" s="189"/>
      <c r="W258" s="189"/>
      <c r="X258" s="189"/>
      <c r="Y258" s="189"/>
      <c r="Z258" s="189"/>
      <c r="AA258" s="189"/>
      <c r="AB258" s="189"/>
      <c r="AC258" s="189"/>
      <c r="AD258" s="189"/>
      <c r="AE258" s="189"/>
      <c r="AF258" s="189"/>
      <c r="AG258" s="189"/>
      <c r="AH258" s="189"/>
      <c r="AI258" s="189"/>
      <c r="AJ258" s="189"/>
      <c r="AK258" s="189"/>
      <c r="AL258" s="189"/>
      <c r="AM258" s="189"/>
    </row>
    <row r="259" ht="15.75" customHeight="1">
      <c r="A259" s="189">
        <f t="shared" si="2"/>
        <v>251</v>
      </c>
      <c r="B259" s="190">
        <f t="shared" si="3"/>
        <v>144166.6582</v>
      </c>
      <c r="C259" s="190">
        <f t="shared" si="4"/>
        <v>1671.57082</v>
      </c>
      <c r="D259" s="190">
        <f t="shared" si="5"/>
        <v>660.7638499</v>
      </c>
      <c r="E259" s="190">
        <f t="shared" si="6"/>
        <v>1010.80697</v>
      </c>
      <c r="F259" s="190">
        <f t="shared" si="1"/>
        <v>143155.8512</v>
      </c>
      <c r="G259" s="191">
        <f t="shared" si="7"/>
        <v>277672.8644</v>
      </c>
      <c r="H259" s="189"/>
      <c r="I259" s="189"/>
      <c r="J259" s="189"/>
      <c r="K259" s="189"/>
      <c r="L259" s="189"/>
      <c r="M259" s="189"/>
      <c r="N259" s="189"/>
      <c r="O259" s="189"/>
      <c r="P259" s="189"/>
      <c r="Q259" s="189"/>
      <c r="R259" s="189"/>
      <c r="S259" s="189"/>
      <c r="T259" s="189"/>
      <c r="U259" s="189"/>
      <c r="V259" s="189"/>
      <c r="W259" s="189"/>
      <c r="X259" s="189"/>
      <c r="Y259" s="189"/>
      <c r="Z259" s="189"/>
      <c r="AA259" s="189"/>
      <c r="AB259" s="189"/>
      <c r="AC259" s="189"/>
      <c r="AD259" s="189"/>
      <c r="AE259" s="189"/>
      <c r="AF259" s="189"/>
      <c r="AG259" s="189"/>
      <c r="AH259" s="189"/>
      <c r="AI259" s="189"/>
      <c r="AJ259" s="189"/>
      <c r="AK259" s="189"/>
      <c r="AL259" s="189"/>
      <c r="AM259" s="189"/>
    </row>
    <row r="260" ht="15.75" customHeight="1">
      <c r="A260" s="189">
        <f t="shared" si="2"/>
        <v>252</v>
      </c>
      <c r="B260" s="190">
        <f t="shared" si="3"/>
        <v>143155.8512</v>
      </c>
      <c r="C260" s="190">
        <f t="shared" si="4"/>
        <v>1671.57082</v>
      </c>
      <c r="D260" s="190">
        <f t="shared" si="5"/>
        <v>656.1309846</v>
      </c>
      <c r="E260" s="190">
        <f t="shared" si="6"/>
        <v>1015.439835</v>
      </c>
      <c r="F260" s="190">
        <f t="shared" si="1"/>
        <v>142140.4113</v>
      </c>
      <c r="G260" s="191">
        <f t="shared" si="7"/>
        <v>278357.6806</v>
      </c>
      <c r="H260" s="189"/>
      <c r="I260" s="189"/>
      <c r="J260" s="189"/>
      <c r="K260" s="189"/>
      <c r="L260" s="189"/>
      <c r="M260" s="189"/>
      <c r="N260" s="189"/>
      <c r="O260" s="189"/>
      <c r="P260" s="189"/>
      <c r="Q260" s="189"/>
      <c r="R260" s="189"/>
      <c r="S260" s="189"/>
      <c r="T260" s="189"/>
      <c r="U260" s="189"/>
      <c r="V260" s="189"/>
      <c r="W260" s="189"/>
      <c r="X260" s="189"/>
      <c r="Y260" s="189"/>
      <c r="Z260" s="189"/>
      <c r="AA260" s="189"/>
      <c r="AB260" s="189"/>
      <c r="AC260" s="189"/>
      <c r="AD260" s="189"/>
      <c r="AE260" s="189"/>
      <c r="AF260" s="189"/>
      <c r="AG260" s="189"/>
      <c r="AH260" s="189"/>
      <c r="AI260" s="189"/>
      <c r="AJ260" s="189"/>
      <c r="AK260" s="189"/>
      <c r="AL260" s="189"/>
      <c r="AM260" s="189"/>
    </row>
    <row r="261" ht="15.75" customHeight="1">
      <c r="A261" s="189">
        <f t="shared" si="2"/>
        <v>253</v>
      </c>
      <c r="B261" s="190">
        <f t="shared" si="3"/>
        <v>142140.4113</v>
      </c>
      <c r="C261" s="190">
        <f t="shared" si="4"/>
        <v>1671.57082</v>
      </c>
      <c r="D261" s="190">
        <f t="shared" si="5"/>
        <v>651.4768854</v>
      </c>
      <c r="E261" s="190">
        <f t="shared" si="6"/>
        <v>1020.093935</v>
      </c>
      <c r="F261" s="190">
        <f t="shared" si="1"/>
        <v>141120.3174</v>
      </c>
      <c r="G261" s="191">
        <f t="shared" si="7"/>
        <v>279044.1858</v>
      </c>
      <c r="H261" s="189"/>
      <c r="I261" s="189"/>
      <c r="J261" s="189"/>
      <c r="K261" s="189"/>
      <c r="L261" s="189"/>
      <c r="M261" s="189"/>
      <c r="N261" s="189"/>
      <c r="O261" s="189"/>
      <c r="P261" s="189"/>
      <c r="Q261" s="189"/>
      <c r="R261" s="189"/>
      <c r="S261" s="189"/>
      <c r="T261" s="189"/>
      <c r="U261" s="189"/>
      <c r="V261" s="189"/>
      <c r="W261" s="189"/>
      <c r="X261" s="189"/>
      <c r="Y261" s="189"/>
      <c r="Z261" s="189"/>
      <c r="AA261" s="189"/>
      <c r="AB261" s="189"/>
      <c r="AC261" s="189"/>
      <c r="AD261" s="189"/>
      <c r="AE261" s="189"/>
      <c r="AF261" s="189"/>
      <c r="AG261" s="189"/>
      <c r="AH261" s="189"/>
      <c r="AI261" s="189"/>
      <c r="AJ261" s="189"/>
      <c r="AK261" s="189"/>
      <c r="AL261" s="189"/>
      <c r="AM261" s="189"/>
    </row>
    <row r="262" ht="15.75" customHeight="1">
      <c r="A262" s="189">
        <f t="shared" si="2"/>
        <v>254</v>
      </c>
      <c r="B262" s="190">
        <f t="shared" si="3"/>
        <v>141120.3174</v>
      </c>
      <c r="C262" s="190">
        <f t="shared" si="4"/>
        <v>1671.57082</v>
      </c>
      <c r="D262" s="190">
        <f t="shared" si="5"/>
        <v>646.8014548</v>
      </c>
      <c r="E262" s="190">
        <f t="shared" si="6"/>
        <v>1024.769365</v>
      </c>
      <c r="F262" s="190">
        <f t="shared" si="1"/>
        <v>140095.548</v>
      </c>
      <c r="G262" s="191">
        <f t="shared" si="7"/>
        <v>279732.384</v>
      </c>
      <c r="H262" s="189"/>
      <c r="I262" s="189"/>
      <c r="J262" s="189"/>
      <c r="K262" s="189"/>
      <c r="L262" s="189"/>
      <c r="M262" s="189"/>
      <c r="N262" s="189"/>
      <c r="O262" s="189"/>
      <c r="P262" s="189"/>
      <c r="Q262" s="189"/>
      <c r="R262" s="189"/>
      <c r="S262" s="189"/>
      <c r="T262" s="189"/>
      <c r="U262" s="189"/>
      <c r="V262" s="189"/>
      <c r="W262" s="189"/>
      <c r="X262" s="189"/>
      <c r="Y262" s="189"/>
      <c r="Z262" s="189"/>
      <c r="AA262" s="189"/>
      <c r="AB262" s="189"/>
      <c r="AC262" s="189"/>
      <c r="AD262" s="189"/>
      <c r="AE262" s="189"/>
      <c r="AF262" s="189"/>
      <c r="AG262" s="189"/>
      <c r="AH262" s="189"/>
      <c r="AI262" s="189"/>
      <c r="AJ262" s="189"/>
      <c r="AK262" s="189"/>
      <c r="AL262" s="189"/>
      <c r="AM262" s="189"/>
    </row>
    <row r="263" ht="15.75" customHeight="1">
      <c r="A263" s="189">
        <f t="shared" si="2"/>
        <v>255</v>
      </c>
      <c r="B263" s="190">
        <f t="shared" si="3"/>
        <v>140095.548</v>
      </c>
      <c r="C263" s="190">
        <f t="shared" si="4"/>
        <v>1671.57082</v>
      </c>
      <c r="D263" s="190">
        <f t="shared" si="5"/>
        <v>642.1045952</v>
      </c>
      <c r="E263" s="190">
        <f t="shared" si="6"/>
        <v>1029.466225</v>
      </c>
      <c r="F263" s="190">
        <f t="shared" si="1"/>
        <v>139066.0818</v>
      </c>
      <c r="G263" s="191">
        <f t="shared" si="7"/>
        <v>280422.2795</v>
      </c>
      <c r="H263" s="189"/>
      <c r="I263" s="189"/>
      <c r="J263" s="189"/>
      <c r="K263" s="189"/>
      <c r="L263" s="189"/>
      <c r="M263" s="189"/>
      <c r="N263" s="189"/>
      <c r="O263" s="189"/>
      <c r="P263" s="189"/>
      <c r="Q263" s="189"/>
      <c r="R263" s="189"/>
      <c r="S263" s="189"/>
      <c r="T263" s="189"/>
      <c r="U263" s="189"/>
      <c r="V263" s="189"/>
      <c r="W263" s="189"/>
      <c r="X263" s="189"/>
      <c r="Y263" s="189"/>
      <c r="Z263" s="189"/>
      <c r="AA263" s="189"/>
      <c r="AB263" s="189"/>
      <c r="AC263" s="189"/>
      <c r="AD263" s="189"/>
      <c r="AE263" s="189"/>
      <c r="AF263" s="189"/>
      <c r="AG263" s="189"/>
      <c r="AH263" s="189"/>
      <c r="AI263" s="189"/>
      <c r="AJ263" s="189"/>
      <c r="AK263" s="189"/>
      <c r="AL263" s="189"/>
      <c r="AM263" s="189"/>
    </row>
    <row r="264" ht="15.75" customHeight="1">
      <c r="A264" s="189">
        <f t="shared" si="2"/>
        <v>256</v>
      </c>
      <c r="B264" s="190">
        <f t="shared" si="3"/>
        <v>139066.0818</v>
      </c>
      <c r="C264" s="190">
        <f t="shared" si="4"/>
        <v>1671.57082</v>
      </c>
      <c r="D264" s="190">
        <f t="shared" si="5"/>
        <v>637.3862084</v>
      </c>
      <c r="E264" s="190">
        <f t="shared" si="6"/>
        <v>1034.184612</v>
      </c>
      <c r="F264" s="190">
        <f t="shared" si="1"/>
        <v>138031.8972</v>
      </c>
      <c r="G264" s="191">
        <f t="shared" si="7"/>
        <v>281113.8765</v>
      </c>
      <c r="H264" s="189"/>
      <c r="I264" s="189"/>
      <c r="J264" s="189"/>
      <c r="K264" s="189"/>
      <c r="L264" s="189"/>
      <c r="M264" s="189"/>
      <c r="N264" s="189"/>
      <c r="O264" s="189"/>
      <c r="P264" s="189"/>
      <c r="Q264" s="189"/>
      <c r="R264" s="189"/>
      <c r="S264" s="189"/>
      <c r="T264" s="189"/>
      <c r="U264" s="189"/>
      <c r="V264" s="189"/>
      <c r="W264" s="189"/>
      <c r="X264" s="189"/>
      <c r="Y264" s="189"/>
      <c r="Z264" s="189"/>
      <c r="AA264" s="189"/>
      <c r="AB264" s="189"/>
      <c r="AC264" s="189"/>
      <c r="AD264" s="189"/>
      <c r="AE264" s="189"/>
      <c r="AF264" s="189"/>
      <c r="AG264" s="189"/>
      <c r="AH264" s="189"/>
      <c r="AI264" s="189"/>
      <c r="AJ264" s="189"/>
      <c r="AK264" s="189"/>
      <c r="AL264" s="189"/>
      <c r="AM264" s="189"/>
    </row>
    <row r="265" ht="15.75" customHeight="1">
      <c r="A265" s="189">
        <f t="shared" si="2"/>
        <v>257</v>
      </c>
      <c r="B265" s="190">
        <f t="shared" si="3"/>
        <v>138031.8972</v>
      </c>
      <c r="C265" s="190">
        <f t="shared" si="4"/>
        <v>1671.57082</v>
      </c>
      <c r="D265" s="190">
        <f t="shared" si="5"/>
        <v>632.6461956</v>
      </c>
      <c r="E265" s="190">
        <f t="shared" si="6"/>
        <v>1038.924624</v>
      </c>
      <c r="F265" s="190">
        <f t="shared" si="1"/>
        <v>136992.9726</v>
      </c>
      <c r="G265" s="191">
        <f t="shared" si="7"/>
        <v>281807.1792</v>
      </c>
      <c r="H265" s="189"/>
      <c r="I265" s="189"/>
      <c r="J265" s="189"/>
      <c r="K265" s="189"/>
      <c r="L265" s="189"/>
      <c r="M265" s="189"/>
      <c r="N265" s="189"/>
      <c r="O265" s="189"/>
      <c r="P265" s="189"/>
      <c r="Q265" s="189"/>
      <c r="R265" s="189"/>
      <c r="S265" s="189"/>
      <c r="T265" s="189"/>
      <c r="U265" s="189"/>
      <c r="V265" s="189"/>
      <c r="W265" s="189"/>
      <c r="X265" s="189"/>
      <c r="Y265" s="189"/>
      <c r="Z265" s="189"/>
      <c r="AA265" s="189"/>
      <c r="AB265" s="189"/>
      <c r="AC265" s="189"/>
      <c r="AD265" s="189"/>
      <c r="AE265" s="189"/>
      <c r="AF265" s="189"/>
      <c r="AG265" s="189"/>
      <c r="AH265" s="189"/>
      <c r="AI265" s="189"/>
      <c r="AJ265" s="189"/>
      <c r="AK265" s="189"/>
      <c r="AL265" s="189"/>
      <c r="AM265" s="189"/>
    </row>
    <row r="266" ht="15.75" customHeight="1">
      <c r="A266" s="189">
        <f t="shared" si="2"/>
        <v>258</v>
      </c>
      <c r="B266" s="190">
        <f t="shared" si="3"/>
        <v>136992.9726</v>
      </c>
      <c r="C266" s="190">
        <f t="shared" si="4"/>
        <v>1671.57082</v>
      </c>
      <c r="D266" s="190">
        <f t="shared" si="5"/>
        <v>627.8844577</v>
      </c>
      <c r="E266" s="190">
        <f t="shared" si="6"/>
        <v>1043.686362</v>
      </c>
      <c r="F266" s="190">
        <f t="shared" si="1"/>
        <v>135949.2862</v>
      </c>
      <c r="G266" s="191">
        <f t="shared" si="7"/>
        <v>282502.1917</v>
      </c>
      <c r="H266" s="189"/>
      <c r="I266" s="189"/>
      <c r="J266" s="189"/>
      <c r="K266" s="189"/>
      <c r="L266" s="189"/>
      <c r="M266" s="189"/>
      <c r="N266" s="189"/>
      <c r="O266" s="189"/>
      <c r="P266" s="189"/>
      <c r="Q266" s="189"/>
      <c r="R266" s="189"/>
      <c r="S266" s="189"/>
      <c r="T266" s="189"/>
      <c r="U266" s="189"/>
      <c r="V266" s="189"/>
      <c r="W266" s="189"/>
      <c r="X266" s="189"/>
      <c r="Y266" s="189"/>
      <c r="Z266" s="189"/>
      <c r="AA266" s="189"/>
      <c r="AB266" s="189"/>
      <c r="AC266" s="189"/>
      <c r="AD266" s="189"/>
      <c r="AE266" s="189"/>
      <c r="AF266" s="189"/>
      <c r="AG266" s="189"/>
      <c r="AH266" s="189"/>
      <c r="AI266" s="189"/>
      <c r="AJ266" s="189"/>
      <c r="AK266" s="189"/>
      <c r="AL266" s="189"/>
      <c r="AM266" s="189"/>
    </row>
    <row r="267" ht="15.75" customHeight="1">
      <c r="A267" s="189">
        <f t="shared" si="2"/>
        <v>259</v>
      </c>
      <c r="B267" s="190">
        <f t="shared" si="3"/>
        <v>135949.2862</v>
      </c>
      <c r="C267" s="190">
        <f t="shared" si="4"/>
        <v>1671.57082</v>
      </c>
      <c r="D267" s="190">
        <f t="shared" si="5"/>
        <v>623.1008952</v>
      </c>
      <c r="E267" s="190">
        <f t="shared" si="6"/>
        <v>1048.469925</v>
      </c>
      <c r="F267" s="190">
        <f t="shared" si="1"/>
        <v>134900.8163</v>
      </c>
      <c r="G267" s="191">
        <f t="shared" si="7"/>
        <v>283198.9183</v>
      </c>
      <c r="H267" s="189"/>
      <c r="I267" s="189"/>
      <c r="J267" s="189"/>
      <c r="K267" s="189"/>
      <c r="L267" s="189"/>
      <c r="M267" s="189"/>
      <c r="N267" s="189"/>
      <c r="O267" s="189"/>
      <c r="P267" s="189"/>
      <c r="Q267" s="189"/>
      <c r="R267" s="189"/>
      <c r="S267" s="189"/>
      <c r="T267" s="189"/>
      <c r="U267" s="189"/>
      <c r="V267" s="189"/>
      <c r="W267" s="189"/>
      <c r="X267" s="189"/>
      <c r="Y267" s="189"/>
      <c r="Z267" s="189"/>
      <c r="AA267" s="189"/>
      <c r="AB267" s="189"/>
      <c r="AC267" s="189"/>
      <c r="AD267" s="189"/>
      <c r="AE267" s="189"/>
      <c r="AF267" s="189"/>
      <c r="AG267" s="189"/>
      <c r="AH267" s="189"/>
      <c r="AI267" s="189"/>
      <c r="AJ267" s="189"/>
      <c r="AK267" s="189"/>
      <c r="AL267" s="189"/>
      <c r="AM267" s="189"/>
    </row>
    <row r="268" ht="15.75" customHeight="1">
      <c r="A268" s="189">
        <f t="shared" si="2"/>
        <v>260</v>
      </c>
      <c r="B268" s="190">
        <f t="shared" si="3"/>
        <v>134900.8163</v>
      </c>
      <c r="C268" s="190">
        <f t="shared" si="4"/>
        <v>1671.57082</v>
      </c>
      <c r="D268" s="190">
        <f t="shared" si="5"/>
        <v>618.2954081</v>
      </c>
      <c r="E268" s="190">
        <f t="shared" si="6"/>
        <v>1053.275412</v>
      </c>
      <c r="F268" s="190">
        <f t="shared" si="1"/>
        <v>133847.5409</v>
      </c>
      <c r="G268" s="191">
        <f t="shared" si="7"/>
        <v>283897.3632</v>
      </c>
      <c r="H268" s="189"/>
      <c r="I268" s="189"/>
      <c r="J268" s="189"/>
      <c r="K268" s="189"/>
      <c r="L268" s="189"/>
      <c r="M268" s="189"/>
      <c r="N268" s="189"/>
      <c r="O268" s="189"/>
      <c r="P268" s="189"/>
      <c r="Q268" s="189"/>
      <c r="R268" s="189"/>
      <c r="S268" s="189"/>
      <c r="T268" s="189"/>
      <c r="U268" s="189"/>
      <c r="V268" s="189"/>
      <c r="W268" s="189"/>
      <c r="X268" s="189"/>
      <c r="Y268" s="189"/>
      <c r="Z268" s="189"/>
      <c r="AA268" s="189"/>
      <c r="AB268" s="189"/>
      <c r="AC268" s="189"/>
      <c r="AD268" s="189"/>
      <c r="AE268" s="189"/>
      <c r="AF268" s="189"/>
      <c r="AG268" s="189"/>
      <c r="AH268" s="189"/>
      <c r="AI268" s="189"/>
      <c r="AJ268" s="189"/>
      <c r="AK268" s="189"/>
      <c r="AL268" s="189"/>
      <c r="AM268" s="189"/>
    </row>
    <row r="269" ht="15.75" customHeight="1">
      <c r="A269" s="189">
        <f t="shared" si="2"/>
        <v>261</v>
      </c>
      <c r="B269" s="190">
        <f t="shared" si="3"/>
        <v>133847.5409</v>
      </c>
      <c r="C269" s="190">
        <f t="shared" si="4"/>
        <v>1671.57082</v>
      </c>
      <c r="D269" s="190">
        <f t="shared" si="5"/>
        <v>613.4678957</v>
      </c>
      <c r="E269" s="190">
        <f t="shared" si="6"/>
        <v>1058.102924</v>
      </c>
      <c r="F269" s="190">
        <f t="shared" si="1"/>
        <v>132789.438</v>
      </c>
      <c r="G269" s="191">
        <f t="shared" si="7"/>
        <v>284597.5307</v>
      </c>
      <c r="H269" s="189"/>
      <c r="I269" s="189"/>
      <c r="J269" s="189"/>
      <c r="K269" s="189"/>
      <c r="L269" s="189"/>
      <c r="M269" s="189"/>
      <c r="N269" s="189"/>
      <c r="O269" s="189"/>
      <c r="P269" s="189"/>
      <c r="Q269" s="189"/>
      <c r="R269" s="189"/>
      <c r="S269" s="189"/>
      <c r="T269" s="189"/>
      <c r="U269" s="189"/>
      <c r="V269" s="189"/>
      <c r="W269" s="189"/>
      <c r="X269" s="189"/>
      <c r="Y269" s="189"/>
      <c r="Z269" s="189"/>
      <c r="AA269" s="189"/>
      <c r="AB269" s="189"/>
      <c r="AC269" s="189"/>
      <c r="AD269" s="189"/>
      <c r="AE269" s="189"/>
      <c r="AF269" s="189"/>
      <c r="AG269" s="189"/>
      <c r="AH269" s="189"/>
      <c r="AI269" s="189"/>
      <c r="AJ269" s="189"/>
      <c r="AK269" s="189"/>
      <c r="AL269" s="189"/>
      <c r="AM269" s="189"/>
    </row>
    <row r="270" ht="15.75" customHeight="1">
      <c r="A270" s="189">
        <f t="shared" si="2"/>
        <v>262</v>
      </c>
      <c r="B270" s="190">
        <f t="shared" si="3"/>
        <v>132789.438</v>
      </c>
      <c r="C270" s="190">
        <f t="shared" si="4"/>
        <v>1671.57082</v>
      </c>
      <c r="D270" s="190">
        <f t="shared" si="5"/>
        <v>608.6182573</v>
      </c>
      <c r="E270" s="190">
        <f t="shared" si="6"/>
        <v>1062.952563</v>
      </c>
      <c r="F270" s="190">
        <f t="shared" si="1"/>
        <v>131726.4854</v>
      </c>
      <c r="G270" s="191">
        <f t="shared" si="7"/>
        <v>285299.425</v>
      </c>
      <c r="H270" s="189"/>
      <c r="I270" s="189"/>
      <c r="J270" s="189"/>
      <c r="K270" s="189"/>
      <c r="L270" s="189"/>
      <c r="M270" s="189"/>
      <c r="N270" s="189"/>
      <c r="O270" s="189"/>
      <c r="P270" s="189"/>
      <c r="Q270" s="189"/>
      <c r="R270" s="189"/>
      <c r="S270" s="189"/>
      <c r="T270" s="189"/>
      <c r="U270" s="189"/>
      <c r="V270" s="189"/>
      <c r="W270" s="189"/>
      <c r="X270" s="189"/>
      <c r="Y270" s="189"/>
      <c r="Z270" s="189"/>
      <c r="AA270" s="189"/>
      <c r="AB270" s="189"/>
      <c r="AC270" s="189"/>
      <c r="AD270" s="189"/>
      <c r="AE270" s="189"/>
      <c r="AF270" s="189"/>
      <c r="AG270" s="189"/>
      <c r="AH270" s="189"/>
      <c r="AI270" s="189"/>
      <c r="AJ270" s="189"/>
      <c r="AK270" s="189"/>
      <c r="AL270" s="189"/>
      <c r="AM270" s="189"/>
    </row>
    <row r="271" ht="15.75" customHeight="1">
      <c r="A271" s="189">
        <f t="shared" si="2"/>
        <v>263</v>
      </c>
      <c r="B271" s="190">
        <f t="shared" si="3"/>
        <v>131726.4854</v>
      </c>
      <c r="C271" s="190">
        <f t="shared" si="4"/>
        <v>1671.57082</v>
      </c>
      <c r="D271" s="190">
        <f t="shared" si="5"/>
        <v>603.7463914</v>
      </c>
      <c r="E271" s="190">
        <f t="shared" si="6"/>
        <v>1067.824429</v>
      </c>
      <c r="F271" s="190">
        <f t="shared" si="1"/>
        <v>130658.661</v>
      </c>
      <c r="G271" s="191">
        <f t="shared" si="7"/>
        <v>286003.0504</v>
      </c>
      <c r="H271" s="189"/>
      <c r="I271" s="189"/>
      <c r="J271" s="189"/>
      <c r="K271" s="189"/>
      <c r="L271" s="189"/>
      <c r="M271" s="189"/>
      <c r="N271" s="189"/>
      <c r="O271" s="189"/>
      <c r="P271" s="189"/>
      <c r="Q271" s="189"/>
      <c r="R271" s="189"/>
      <c r="S271" s="189"/>
      <c r="T271" s="189"/>
      <c r="U271" s="189"/>
      <c r="V271" s="189"/>
      <c r="W271" s="189"/>
      <c r="X271" s="189"/>
      <c r="Y271" s="189"/>
      <c r="Z271" s="189"/>
      <c r="AA271" s="189"/>
      <c r="AB271" s="189"/>
      <c r="AC271" s="189"/>
      <c r="AD271" s="189"/>
      <c r="AE271" s="189"/>
      <c r="AF271" s="189"/>
      <c r="AG271" s="189"/>
      <c r="AH271" s="189"/>
      <c r="AI271" s="189"/>
      <c r="AJ271" s="189"/>
      <c r="AK271" s="189"/>
      <c r="AL271" s="189"/>
      <c r="AM271" s="189"/>
    </row>
    <row r="272" ht="15.75" customHeight="1">
      <c r="A272" s="189">
        <f t="shared" si="2"/>
        <v>264</v>
      </c>
      <c r="B272" s="190">
        <f t="shared" si="3"/>
        <v>130658.661</v>
      </c>
      <c r="C272" s="190">
        <f t="shared" si="4"/>
        <v>1671.57082</v>
      </c>
      <c r="D272" s="190">
        <f t="shared" si="5"/>
        <v>598.8521961</v>
      </c>
      <c r="E272" s="190">
        <f t="shared" si="6"/>
        <v>1072.718624</v>
      </c>
      <c r="F272" s="190">
        <f t="shared" si="1"/>
        <v>129585.9424</v>
      </c>
      <c r="G272" s="191">
        <f t="shared" si="7"/>
        <v>286708.411</v>
      </c>
      <c r="H272" s="189"/>
      <c r="I272" s="189"/>
      <c r="J272" s="189"/>
      <c r="K272" s="189"/>
      <c r="L272" s="189"/>
      <c r="M272" s="189"/>
      <c r="N272" s="189"/>
      <c r="O272" s="189"/>
      <c r="P272" s="189"/>
      <c r="Q272" s="189"/>
      <c r="R272" s="189"/>
      <c r="S272" s="189"/>
      <c r="T272" s="189"/>
      <c r="U272" s="189"/>
      <c r="V272" s="189"/>
      <c r="W272" s="189"/>
      <c r="X272" s="189"/>
      <c r="Y272" s="189"/>
      <c r="Z272" s="189"/>
      <c r="AA272" s="189"/>
      <c r="AB272" s="189"/>
      <c r="AC272" s="189"/>
      <c r="AD272" s="189"/>
      <c r="AE272" s="189"/>
      <c r="AF272" s="189"/>
      <c r="AG272" s="189"/>
      <c r="AH272" s="189"/>
      <c r="AI272" s="189"/>
      <c r="AJ272" s="189"/>
      <c r="AK272" s="189"/>
      <c r="AL272" s="189"/>
      <c r="AM272" s="189"/>
    </row>
    <row r="273" ht="15.75" customHeight="1">
      <c r="A273" s="189">
        <f t="shared" si="2"/>
        <v>265</v>
      </c>
      <c r="B273" s="190">
        <f t="shared" si="3"/>
        <v>129585.9424</v>
      </c>
      <c r="C273" s="190">
        <f t="shared" si="4"/>
        <v>1671.57082</v>
      </c>
      <c r="D273" s="190">
        <f t="shared" si="5"/>
        <v>593.9355691</v>
      </c>
      <c r="E273" s="190">
        <f t="shared" si="6"/>
        <v>1077.635251</v>
      </c>
      <c r="F273" s="190">
        <f t="shared" si="1"/>
        <v>128508.3071</v>
      </c>
      <c r="G273" s="191">
        <f t="shared" si="7"/>
        <v>287415.5113</v>
      </c>
      <c r="H273" s="189"/>
      <c r="I273" s="189"/>
      <c r="J273" s="189"/>
      <c r="K273" s="189"/>
      <c r="L273" s="189"/>
      <c r="M273" s="189"/>
      <c r="N273" s="189"/>
      <c r="O273" s="189"/>
      <c r="P273" s="189"/>
      <c r="Q273" s="189"/>
      <c r="R273" s="189"/>
      <c r="S273" s="189"/>
      <c r="T273" s="189"/>
      <c r="U273" s="189"/>
      <c r="V273" s="189"/>
      <c r="W273" s="189"/>
      <c r="X273" s="189"/>
      <c r="Y273" s="189"/>
      <c r="Z273" s="189"/>
      <c r="AA273" s="189"/>
      <c r="AB273" s="189"/>
      <c r="AC273" s="189"/>
      <c r="AD273" s="189"/>
      <c r="AE273" s="189"/>
      <c r="AF273" s="189"/>
      <c r="AG273" s="189"/>
      <c r="AH273" s="189"/>
      <c r="AI273" s="189"/>
      <c r="AJ273" s="189"/>
      <c r="AK273" s="189"/>
      <c r="AL273" s="189"/>
      <c r="AM273" s="189"/>
    </row>
    <row r="274" ht="15.75" customHeight="1">
      <c r="A274" s="189">
        <f t="shared" si="2"/>
        <v>266</v>
      </c>
      <c r="B274" s="190">
        <f t="shared" si="3"/>
        <v>128508.3071</v>
      </c>
      <c r="C274" s="190">
        <f t="shared" si="4"/>
        <v>1671.57082</v>
      </c>
      <c r="D274" s="190">
        <f t="shared" si="5"/>
        <v>588.9964075</v>
      </c>
      <c r="E274" s="190">
        <f t="shared" si="6"/>
        <v>1082.574412</v>
      </c>
      <c r="F274" s="190">
        <f t="shared" si="1"/>
        <v>127425.7327</v>
      </c>
      <c r="G274" s="191">
        <f t="shared" si="7"/>
        <v>288124.3555</v>
      </c>
      <c r="H274" s="189"/>
      <c r="I274" s="189"/>
      <c r="J274" s="189"/>
      <c r="K274" s="189"/>
      <c r="L274" s="189"/>
      <c r="M274" s="189"/>
      <c r="N274" s="189"/>
      <c r="O274" s="189"/>
      <c r="P274" s="189"/>
      <c r="Q274" s="189"/>
      <c r="R274" s="189"/>
      <c r="S274" s="189"/>
      <c r="T274" s="189"/>
      <c r="U274" s="189"/>
      <c r="V274" s="189"/>
      <c r="W274" s="189"/>
      <c r="X274" s="189"/>
      <c r="Y274" s="189"/>
      <c r="Z274" s="189"/>
      <c r="AA274" s="189"/>
      <c r="AB274" s="189"/>
      <c r="AC274" s="189"/>
      <c r="AD274" s="189"/>
      <c r="AE274" s="189"/>
      <c r="AF274" s="189"/>
      <c r="AG274" s="189"/>
      <c r="AH274" s="189"/>
      <c r="AI274" s="189"/>
      <c r="AJ274" s="189"/>
      <c r="AK274" s="189"/>
      <c r="AL274" s="189"/>
      <c r="AM274" s="189"/>
    </row>
    <row r="275" ht="15.75" customHeight="1">
      <c r="A275" s="189">
        <f t="shared" si="2"/>
        <v>267</v>
      </c>
      <c r="B275" s="190">
        <f t="shared" si="3"/>
        <v>127425.7327</v>
      </c>
      <c r="C275" s="190">
        <f t="shared" si="4"/>
        <v>1671.57082</v>
      </c>
      <c r="D275" s="190">
        <f t="shared" si="5"/>
        <v>584.0346082</v>
      </c>
      <c r="E275" s="190">
        <f t="shared" si="6"/>
        <v>1087.536212</v>
      </c>
      <c r="F275" s="190">
        <f t="shared" si="1"/>
        <v>126338.1965</v>
      </c>
      <c r="G275" s="191">
        <f t="shared" si="7"/>
        <v>288834.9479</v>
      </c>
      <c r="H275" s="189"/>
      <c r="I275" s="189"/>
      <c r="J275" s="189"/>
      <c r="K275" s="189"/>
      <c r="L275" s="189"/>
      <c r="M275" s="189"/>
      <c r="N275" s="189"/>
      <c r="O275" s="189"/>
      <c r="P275" s="189"/>
      <c r="Q275" s="189"/>
      <c r="R275" s="189"/>
      <c r="S275" s="189"/>
      <c r="T275" s="189"/>
      <c r="U275" s="189"/>
      <c r="V275" s="189"/>
      <c r="W275" s="189"/>
      <c r="X275" s="189"/>
      <c r="Y275" s="189"/>
      <c r="Z275" s="189"/>
      <c r="AA275" s="189"/>
      <c r="AB275" s="189"/>
      <c r="AC275" s="189"/>
      <c r="AD275" s="189"/>
      <c r="AE275" s="189"/>
      <c r="AF275" s="189"/>
      <c r="AG275" s="189"/>
      <c r="AH275" s="189"/>
      <c r="AI275" s="189"/>
      <c r="AJ275" s="189"/>
      <c r="AK275" s="189"/>
      <c r="AL275" s="189"/>
      <c r="AM275" s="189"/>
    </row>
    <row r="276" ht="15.75" customHeight="1">
      <c r="A276" s="189">
        <f t="shared" si="2"/>
        <v>268</v>
      </c>
      <c r="B276" s="190">
        <f t="shared" si="3"/>
        <v>126338.1965</v>
      </c>
      <c r="C276" s="190">
        <f t="shared" si="4"/>
        <v>1671.57082</v>
      </c>
      <c r="D276" s="190">
        <f t="shared" si="5"/>
        <v>579.0500672</v>
      </c>
      <c r="E276" s="190">
        <f t="shared" si="6"/>
        <v>1092.520753</v>
      </c>
      <c r="F276" s="190">
        <f t="shared" si="1"/>
        <v>125245.6757</v>
      </c>
      <c r="G276" s="191">
        <f t="shared" si="7"/>
        <v>289547.2928</v>
      </c>
      <c r="H276" s="189"/>
      <c r="I276" s="189"/>
      <c r="J276" s="189"/>
      <c r="K276" s="189"/>
      <c r="L276" s="189"/>
      <c r="M276" s="189"/>
      <c r="N276" s="189"/>
      <c r="O276" s="189"/>
      <c r="P276" s="189"/>
      <c r="Q276" s="189"/>
      <c r="R276" s="189"/>
      <c r="S276" s="189"/>
      <c r="T276" s="189"/>
      <c r="U276" s="189"/>
      <c r="V276" s="189"/>
      <c r="W276" s="189"/>
      <c r="X276" s="189"/>
      <c r="Y276" s="189"/>
      <c r="Z276" s="189"/>
      <c r="AA276" s="189"/>
      <c r="AB276" s="189"/>
      <c r="AC276" s="189"/>
      <c r="AD276" s="189"/>
      <c r="AE276" s="189"/>
      <c r="AF276" s="189"/>
      <c r="AG276" s="189"/>
      <c r="AH276" s="189"/>
      <c r="AI276" s="189"/>
      <c r="AJ276" s="189"/>
      <c r="AK276" s="189"/>
      <c r="AL276" s="189"/>
      <c r="AM276" s="189"/>
    </row>
    <row r="277" ht="15.75" customHeight="1">
      <c r="A277" s="189">
        <f t="shared" si="2"/>
        <v>269</v>
      </c>
      <c r="B277" s="190">
        <f t="shared" si="3"/>
        <v>125245.6757</v>
      </c>
      <c r="C277" s="190">
        <f t="shared" si="4"/>
        <v>1671.57082</v>
      </c>
      <c r="D277" s="190">
        <f t="shared" si="5"/>
        <v>574.0426804</v>
      </c>
      <c r="E277" s="190">
        <f t="shared" si="6"/>
        <v>1097.52814</v>
      </c>
      <c r="F277" s="190">
        <f t="shared" si="1"/>
        <v>124148.1476</v>
      </c>
      <c r="G277" s="191">
        <f t="shared" si="7"/>
        <v>290261.3945</v>
      </c>
      <c r="H277" s="189"/>
      <c r="I277" s="189"/>
      <c r="J277" s="189"/>
      <c r="K277" s="189"/>
      <c r="L277" s="189"/>
      <c r="M277" s="189"/>
      <c r="N277" s="189"/>
      <c r="O277" s="189"/>
      <c r="P277" s="189"/>
      <c r="Q277" s="189"/>
      <c r="R277" s="189"/>
      <c r="S277" s="189"/>
      <c r="T277" s="189"/>
      <c r="U277" s="189"/>
      <c r="V277" s="189"/>
      <c r="W277" s="189"/>
      <c r="X277" s="189"/>
      <c r="Y277" s="189"/>
      <c r="Z277" s="189"/>
      <c r="AA277" s="189"/>
      <c r="AB277" s="189"/>
      <c r="AC277" s="189"/>
      <c r="AD277" s="189"/>
      <c r="AE277" s="189"/>
      <c r="AF277" s="189"/>
      <c r="AG277" s="189"/>
      <c r="AH277" s="189"/>
      <c r="AI277" s="189"/>
      <c r="AJ277" s="189"/>
      <c r="AK277" s="189"/>
      <c r="AL277" s="189"/>
      <c r="AM277" s="189"/>
    </row>
    <row r="278" ht="15.75" customHeight="1">
      <c r="A278" s="189">
        <f t="shared" si="2"/>
        <v>270</v>
      </c>
      <c r="B278" s="190">
        <f t="shared" si="3"/>
        <v>124148.1476</v>
      </c>
      <c r="C278" s="190">
        <f t="shared" si="4"/>
        <v>1671.57082</v>
      </c>
      <c r="D278" s="190">
        <f t="shared" si="5"/>
        <v>569.0123431</v>
      </c>
      <c r="E278" s="190">
        <f t="shared" si="6"/>
        <v>1102.558477</v>
      </c>
      <c r="F278" s="190">
        <f t="shared" si="1"/>
        <v>123045.5891</v>
      </c>
      <c r="G278" s="191">
        <f t="shared" si="7"/>
        <v>290977.2574</v>
      </c>
      <c r="H278" s="189"/>
      <c r="I278" s="189"/>
      <c r="J278" s="189"/>
      <c r="K278" s="189"/>
      <c r="L278" s="189"/>
      <c r="M278" s="189"/>
      <c r="N278" s="189"/>
      <c r="O278" s="189"/>
      <c r="P278" s="189"/>
      <c r="Q278" s="189"/>
      <c r="R278" s="189"/>
      <c r="S278" s="189"/>
      <c r="T278" s="189"/>
      <c r="U278" s="189"/>
      <c r="V278" s="189"/>
      <c r="W278" s="189"/>
      <c r="X278" s="189"/>
      <c r="Y278" s="189"/>
      <c r="Z278" s="189"/>
      <c r="AA278" s="189"/>
      <c r="AB278" s="189"/>
      <c r="AC278" s="189"/>
      <c r="AD278" s="189"/>
      <c r="AE278" s="189"/>
      <c r="AF278" s="189"/>
      <c r="AG278" s="189"/>
      <c r="AH278" s="189"/>
      <c r="AI278" s="189"/>
      <c r="AJ278" s="189"/>
      <c r="AK278" s="189"/>
      <c r="AL278" s="189"/>
      <c r="AM278" s="189"/>
    </row>
    <row r="279" ht="15.75" customHeight="1">
      <c r="A279" s="189">
        <f t="shared" si="2"/>
        <v>271</v>
      </c>
      <c r="B279" s="190">
        <f t="shared" si="3"/>
        <v>123045.5891</v>
      </c>
      <c r="C279" s="190">
        <f t="shared" si="4"/>
        <v>1671.57082</v>
      </c>
      <c r="D279" s="190">
        <f t="shared" si="5"/>
        <v>563.9589501</v>
      </c>
      <c r="E279" s="190">
        <f t="shared" si="6"/>
        <v>1107.61187</v>
      </c>
      <c r="F279" s="190">
        <f t="shared" si="1"/>
        <v>121937.9772</v>
      </c>
      <c r="G279" s="191">
        <f t="shared" si="7"/>
        <v>291694.8859</v>
      </c>
      <c r="H279" s="189"/>
      <c r="I279" s="189"/>
      <c r="J279" s="189"/>
      <c r="K279" s="189"/>
      <c r="L279" s="189"/>
      <c r="M279" s="189"/>
      <c r="N279" s="189"/>
      <c r="O279" s="189"/>
      <c r="P279" s="189"/>
      <c r="Q279" s="189"/>
      <c r="R279" s="189"/>
      <c r="S279" s="189"/>
      <c r="T279" s="189"/>
      <c r="U279" s="189"/>
      <c r="V279" s="189"/>
      <c r="W279" s="189"/>
      <c r="X279" s="189"/>
      <c r="Y279" s="189"/>
      <c r="Z279" s="189"/>
      <c r="AA279" s="189"/>
      <c r="AB279" s="189"/>
      <c r="AC279" s="189"/>
      <c r="AD279" s="189"/>
      <c r="AE279" s="189"/>
      <c r="AF279" s="189"/>
      <c r="AG279" s="189"/>
      <c r="AH279" s="189"/>
      <c r="AI279" s="189"/>
      <c r="AJ279" s="189"/>
      <c r="AK279" s="189"/>
      <c r="AL279" s="189"/>
      <c r="AM279" s="189"/>
    </row>
    <row r="280" ht="15.75" customHeight="1">
      <c r="A280" s="189">
        <f t="shared" si="2"/>
        <v>272</v>
      </c>
      <c r="B280" s="190">
        <f t="shared" si="3"/>
        <v>121937.9772</v>
      </c>
      <c r="C280" s="190">
        <f t="shared" si="4"/>
        <v>1671.57082</v>
      </c>
      <c r="D280" s="190">
        <f t="shared" si="5"/>
        <v>558.8823957</v>
      </c>
      <c r="E280" s="190">
        <f t="shared" si="6"/>
        <v>1112.688424</v>
      </c>
      <c r="F280" s="190">
        <f t="shared" si="1"/>
        <v>120825.2888</v>
      </c>
      <c r="G280" s="191">
        <f t="shared" si="7"/>
        <v>292414.2841</v>
      </c>
      <c r="H280" s="189"/>
      <c r="I280" s="189"/>
      <c r="J280" s="189"/>
      <c r="K280" s="189"/>
      <c r="L280" s="189"/>
      <c r="M280" s="189"/>
      <c r="N280" s="189"/>
      <c r="O280" s="189"/>
      <c r="P280" s="189"/>
      <c r="Q280" s="189"/>
      <c r="R280" s="189"/>
      <c r="S280" s="189"/>
      <c r="T280" s="189"/>
      <c r="U280" s="189"/>
      <c r="V280" s="189"/>
      <c r="W280" s="189"/>
      <c r="X280" s="189"/>
      <c r="Y280" s="189"/>
      <c r="Z280" s="189"/>
      <c r="AA280" s="189"/>
      <c r="AB280" s="189"/>
      <c r="AC280" s="189"/>
      <c r="AD280" s="189"/>
      <c r="AE280" s="189"/>
      <c r="AF280" s="189"/>
      <c r="AG280" s="189"/>
      <c r="AH280" s="189"/>
      <c r="AI280" s="189"/>
      <c r="AJ280" s="189"/>
      <c r="AK280" s="189"/>
      <c r="AL280" s="189"/>
      <c r="AM280" s="189"/>
    </row>
    <row r="281" ht="15.75" customHeight="1">
      <c r="A281" s="189">
        <f t="shared" si="2"/>
        <v>273</v>
      </c>
      <c r="B281" s="190">
        <f t="shared" si="3"/>
        <v>120825.2888</v>
      </c>
      <c r="C281" s="190">
        <f t="shared" si="4"/>
        <v>1671.57082</v>
      </c>
      <c r="D281" s="190">
        <f t="shared" si="5"/>
        <v>553.7825737</v>
      </c>
      <c r="E281" s="190">
        <f t="shared" si="6"/>
        <v>1117.788246</v>
      </c>
      <c r="F281" s="190">
        <f t="shared" si="1"/>
        <v>119707.5006</v>
      </c>
      <c r="G281" s="191">
        <f t="shared" si="7"/>
        <v>293135.4567</v>
      </c>
      <c r="H281" s="189"/>
      <c r="I281" s="189"/>
      <c r="J281" s="189"/>
      <c r="K281" s="189"/>
      <c r="L281" s="189"/>
      <c r="M281" s="189"/>
      <c r="N281" s="189"/>
      <c r="O281" s="189"/>
      <c r="P281" s="189"/>
      <c r="Q281" s="189"/>
      <c r="R281" s="189"/>
      <c r="S281" s="189"/>
      <c r="T281" s="189"/>
      <c r="U281" s="189"/>
      <c r="V281" s="189"/>
      <c r="W281" s="189"/>
      <c r="X281" s="189"/>
      <c r="Y281" s="189"/>
      <c r="Z281" s="189"/>
      <c r="AA281" s="189"/>
      <c r="AB281" s="189"/>
      <c r="AC281" s="189"/>
      <c r="AD281" s="189"/>
      <c r="AE281" s="189"/>
      <c r="AF281" s="189"/>
      <c r="AG281" s="189"/>
      <c r="AH281" s="189"/>
      <c r="AI281" s="189"/>
      <c r="AJ281" s="189"/>
      <c r="AK281" s="189"/>
      <c r="AL281" s="189"/>
      <c r="AM281" s="189"/>
    </row>
    <row r="282" ht="15.75" customHeight="1">
      <c r="A282" s="189">
        <f t="shared" si="2"/>
        <v>274</v>
      </c>
      <c r="B282" s="190">
        <f t="shared" si="3"/>
        <v>119707.5006</v>
      </c>
      <c r="C282" s="190">
        <f t="shared" si="4"/>
        <v>1671.57082</v>
      </c>
      <c r="D282" s="190">
        <f t="shared" si="5"/>
        <v>548.6593776</v>
      </c>
      <c r="E282" s="190">
        <f t="shared" si="6"/>
        <v>1122.911442</v>
      </c>
      <c r="F282" s="190">
        <f t="shared" si="1"/>
        <v>118584.5891</v>
      </c>
      <c r="G282" s="191">
        <f t="shared" si="7"/>
        <v>293858.4078</v>
      </c>
      <c r="H282" s="189"/>
      <c r="I282" s="189"/>
      <c r="J282" s="189"/>
      <c r="K282" s="189"/>
      <c r="L282" s="189"/>
      <c r="M282" s="189"/>
      <c r="N282" s="189"/>
      <c r="O282" s="189"/>
      <c r="P282" s="189"/>
      <c r="Q282" s="189"/>
      <c r="R282" s="189"/>
      <c r="S282" s="189"/>
      <c r="T282" s="189"/>
      <c r="U282" s="189"/>
      <c r="V282" s="189"/>
      <c r="W282" s="189"/>
      <c r="X282" s="189"/>
      <c r="Y282" s="189"/>
      <c r="Z282" s="189"/>
      <c r="AA282" s="189"/>
      <c r="AB282" s="189"/>
      <c r="AC282" s="189"/>
      <c r="AD282" s="189"/>
      <c r="AE282" s="189"/>
      <c r="AF282" s="189"/>
      <c r="AG282" s="189"/>
      <c r="AH282" s="189"/>
      <c r="AI282" s="189"/>
      <c r="AJ282" s="189"/>
      <c r="AK282" s="189"/>
      <c r="AL282" s="189"/>
      <c r="AM282" s="189"/>
    </row>
    <row r="283" ht="15.75" customHeight="1">
      <c r="A283" s="189">
        <f t="shared" si="2"/>
        <v>275</v>
      </c>
      <c r="B283" s="190">
        <f t="shared" si="3"/>
        <v>118584.5891</v>
      </c>
      <c r="C283" s="190">
        <f t="shared" si="4"/>
        <v>1671.57082</v>
      </c>
      <c r="D283" s="190">
        <f t="shared" si="5"/>
        <v>543.5127001</v>
      </c>
      <c r="E283" s="190">
        <f t="shared" si="6"/>
        <v>1128.05812</v>
      </c>
      <c r="F283" s="190">
        <f t="shared" si="1"/>
        <v>117456.531</v>
      </c>
      <c r="G283" s="191">
        <f t="shared" si="7"/>
        <v>294583.1419</v>
      </c>
      <c r="H283" s="189"/>
      <c r="I283" s="189"/>
      <c r="J283" s="189"/>
      <c r="K283" s="189"/>
      <c r="L283" s="189"/>
      <c r="M283" s="189"/>
      <c r="N283" s="189"/>
      <c r="O283" s="189"/>
      <c r="P283" s="189"/>
      <c r="Q283" s="189"/>
      <c r="R283" s="189"/>
      <c r="S283" s="189"/>
      <c r="T283" s="189"/>
      <c r="U283" s="189"/>
      <c r="V283" s="189"/>
      <c r="W283" s="189"/>
      <c r="X283" s="189"/>
      <c r="Y283" s="189"/>
      <c r="Z283" s="189"/>
      <c r="AA283" s="189"/>
      <c r="AB283" s="189"/>
      <c r="AC283" s="189"/>
      <c r="AD283" s="189"/>
      <c r="AE283" s="189"/>
      <c r="AF283" s="189"/>
      <c r="AG283" s="189"/>
      <c r="AH283" s="189"/>
      <c r="AI283" s="189"/>
      <c r="AJ283" s="189"/>
      <c r="AK283" s="189"/>
      <c r="AL283" s="189"/>
      <c r="AM283" s="189"/>
    </row>
    <row r="284" ht="15.75" customHeight="1">
      <c r="A284" s="189">
        <f t="shared" si="2"/>
        <v>276</v>
      </c>
      <c r="B284" s="190">
        <f t="shared" si="3"/>
        <v>117456.531</v>
      </c>
      <c r="C284" s="190">
        <f t="shared" si="4"/>
        <v>1671.57082</v>
      </c>
      <c r="D284" s="190">
        <f t="shared" si="5"/>
        <v>538.3424338</v>
      </c>
      <c r="E284" s="190">
        <f t="shared" si="6"/>
        <v>1133.228386</v>
      </c>
      <c r="F284" s="190">
        <f t="shared" si="1"/>
        <v>116323.3026</v>
      </c>
      <c r="G284" s="191">
        <f t="shared" si="7"/>
        <v>295309.6634</v>
      </c>
      <c r="H284" s="189"/>
      <c r="I284" s="189"/>
      <c r="J284" s="189"/>
      <c r="K284" s="189"/>
      <c r="L284" s="189"/>
      <c r="M284" s="189"/>
      <c r="N284" s="189"/>
      <c r="O284" s="189"/>
      <c r="P284" s="189"/>
      <c r="Q284" s="189"/>
      <c r="R284" s="189"/>
      <c r="S284" s="189"/>
      <c r="T284" s="189"/>
      <c r="U284" s="189"/>
      <c r="V284" s="189"/>
      <c r="W284" s="189"/>
      <c r="X284" s="189"/>
      <c r="Y284" s="189"/>
      <c r="Z284" s="189"/>
      <c r="AA284" s="189"/>
      <c r="AB284" s="189"/>
      <c r="AC284" s="189"/>
      <c r="AD284" s="189"/>
      <c r="AE284" s="189"/>
      <c r="AF284" s="189"/>
      <c r="AG284" s="189"/>
      <c r="AH284" s="189"/>
      <c r="AI284" s="189"/>
      <c r="AJ284" s="189"/>
      <c r="AK284" s="189"/>
      <c r="AL284" s="189"/>
      <c r="AM284" s="189"/>
    </row>
    <row r="285" ht="15.75" customHeight="1">
      <c r="A285" s="189">
        <f t="shared" si="2"/>
        <v>277</v>
      </c>
      <c r="B285" s="190">
        <f t="shared" si="3"/>
        <v>116323.3026</v>
      </c>
      <c r="C285" s="190">
        <f t="shared" si="4"/>
        <v>1671.57082</v>
      </c>
      <c r="D285" s="190">
        <f t="shared" si="5"/>
        <v>533.1484703</v>
      </c>
      <c r="E285" s="190">
        <f t="shared" si="6"/>
        <v>1138.42235</v>
      </c>
      <c r="F285" s="190">
        <f t="shared" si="1"/>
        <v>115184.8803</v>
      </c>
      <c r="G285" s="191">
        <f t="shared" si="7"/>
        <v>296037.9767</v>
      </c>
      <c r="H285" s="189"/>
      <c r="I285" s="189"/>
      <c r="J285" s="189"/>
      <c r="K285" s="189"/>
      <c r="L285" s="189"/>
      <c r="M285" s="189"/>
      <c r="N285" s="189"/>
      <c r="O285" s="189"/>
      <c r="P285" s="189"/>
      <c r="Q285" s="189"/>
      <c r="R285" s="189"/>
      <c r="S285" s="189"/>
      <c r="T285" s="189"/>
      <c r="U285" s="189"/>
      <c r="V285" s="189"/>
      <c r="W285" s="189"/>
      <c r="X285" s="189"/>
      <c r="Y285" s="189"/>
      <c r="Z285" s="189"/>
      <c r="AA285" s="189"/>
      <c r="AB285" s="189"/>
      <c r="AC285" s="189"/>
      <c r="AD285" s="189"/>
      <c r="AE285" s="189"/>
      <c r="AF285" s="189"/>
      <c r="AG285" s="189"/>
      <c r="AH285" s="189"/>
      <c r="AI285" s="189"/>
      <c r="AJ285" s="189"/>
      <c r="AK285" s="189"/>
      <c r="AL285" s="189"/>
      <c r="AM285" s="189"/>
    </row>
    <row r="286" ht="15.75" customHeight="1">
      <c r="A286" s="189">
        <f t="shared" si="2"/>
        <v>278</v>
      </c>
      <c r="B286" s="190">
        <f t="shared" si="3"/>
        <v>115184.8803</v>
      </c>
      <c r="C286" s="190">
        <f t="shared" si="4"/>
        <v>1671.57082</v>
      </c>
      <c r="D286" s="190">
        <f t="shared" si="5"/>
        <v>527.9307012</v>
      </c>
      <c r="E286" s="190">
        <f t="shared" si="6"/>
        <v>1143.640119</v>
      </c>
      <c r="F286" s="190">
        <f t="shared" si="1"/>
        <v>114041.2401</v>
      </c>
      <c r="G286" s="191">
        <f t="shared" si="7"/>
        <v>296768.0862</v>
      </c>
      <c r="H286" s="189"/>
      <c r="I286" s="189"/>
      <c r="J286" s="189"/>
      <c r="K286" s="189"/>
      <c r="L286" s="189"/>
      <c r="M286" s="189"/>
      <c r="N286" s="189"/>
      <c r="O286" s="189"/>
      <c r="P286" s="189"/>
      <c r="Q286" s="189"/>
      <c r="R286" s="189"/>
      <c r="S286" s="189"/>
      <c r="T286" s="189"/>
      <c r="U286" s="189"/>
      <c r="V286" s="189"/>
      <c r="W286" s="189"/>
      <c r="X286" s="189"/>
      <c r="Y286" s="189"/>
      <c r="Z286" s="189"/>
      <c r="AA286" s="189"/>
      <c r="AB286" s="189"/>
      <c r="AC286" s="189"/>
      <c r="AD286" s="189"/>
      <c r="AE286" s="189"/>
      <c r="AF286" s="189"/>
      <c r="AG286" s="189"/>
      <c r="AH286" s="189"/>
      <c r="AI286" s="189"/>
      <c r="AJ286" s="189"/>
      <c r="AK286" s="189"/>
      <c r="AL286" s="189"/>
      <c r="AM286" s="189"/>
    </row>
    <row r="287" ht="15.75" customHeight="1">
      <c r="A287" s="189">
        <f t="shared" si="2"/>
        <v>279</v>
      </c>
      <c r="B287" s="190">
        <f t="shared" si="3"/>
        <v>114041.2401</v>
      </c>
      <c r="C287" s="190">
        <f t="shared" si="4"/>
        <v>1671.57082</v>
      </c>
      <c r="D287" s="190">
        <f t="shared" si="5"/>
        <v>522.6890174</v>
      </c>
      <c r="E287" s="190">
        <f t="shared" si="6"/>
        <v>1148.881803</v>
      </c>
      <c r="F287" s="190">
        <f t="shared" si="1"/>
        <v>112892.3583</v>
      </c>
      <c r="G287" s="191">
        <f t="shared" si="7"/>
        <v>297499.9963</v>
      </c>
      <c r="H287" s="189"/>
      <c r="I287" s="189"/>
      <c r="J287" s="189"/>
      <c r="K287" s="189"/>
      <c r="L287" s="189"/>
      <c r="M287" s="189"/>
      <c r="N287" s="189"/>
      <c r="O287" s="189"/>
      <c r="P287" s="189"/>
      <c r="Q287" s="189"/>
      <c r="R287" s="189"/>
      <c r="S287" s="189"/>
      <c r="T287" s="189"/>
      <c r="U287" s="189"/>
      <c r="V287" s="189"/>
      <c r="W287" s="189"/>
      <c r="X287" s="189"/>
      <c r="Y287" s="189"/>
      <c r="Z287" s="189"/>
      <c r="AA287" s="189"/>
      <c r="AB287" s="189"/>
      <c r="AC287" s="189"/>
      <c r="AD287" s="189"/>
      <c r="AE287" s="189"/>
      <c r="AF287" s="189"/>
      <c r="AG287" s="189"/>
      <c r="AH287" s="189"/>
      <c r="AI287" s="189"/>
      <c r="AJ287" s="189"/>
      <c r="AK287" s="189"/>
      <c r="AL287" s="189"/>
      <c r="AM287" s="189"/>
    </row>
    <row r="288" ht="15.75" customHeight="1">
      <c r="A288" s="189">
        <f t="shared" si="2"/>
        <v>280</v>
      </c>
      <c r="B288" s="190">
        <f t="shared" si="3"/>
        <v>112892.3583</v>
      </c>
      <c r="C288" s="190">
        <f t="shared" si="4"/>
        <v>1671.57082</v>
      </c>
      <c r="D288" s="190">
        <f t="shared" si="5"/>
        <v>517.4233091</v>
      </c>
      <c r="E288" s="190">
        <f t="shared" si="6"/>
        <v>1154.147511</v>
      </c>
      <c r="F288" s="190">
        <f t="shared" si="1"/>
        <v>111738.2108</v>
      </c>
      <c r="G288" s="191">
        <f t="shared" si="7"/>
        <v>298233.7116</v>
      </c>
      <c r="H288" s="189"/>
      <c r="I288" s="189"/>
      <c r="J288" s="189"/>
      <c r="K288" s="189"/>
      <c r="L288" s="189"/>
      <c r="M288" s="189"/>
      <c r="N288" s="189"/>
      <c r="O288" s="189"/>
      <c r="P288" s="189"/>
      <c r="Q288" s="189"/>
      <c r="R288" s="189"/>
      <c r="S288" s="189"/>
      <c r="T288" s="189"/>
      <c r="U288" s="189"/>
      <c r="V288" s="189"/>
      <c r="W288" s="189"/>
      <c r="X288" s="189"/>
      <c r="Y288" s="189"/>
      <c r="Z288" s="189"/>
      <c r="AA288" s="189"/>
      <c r="AB288" s="189"/>
      <c r="AC288" s="189"/>
      <c r="AD288" s="189"/>
      <c r="AE288" s="189"/>
      <c r="AF288" s="189"/>
      <c r="AG288" s="189"/>
      <c r="AH288" s="189"/>
      <c r="AI288" s="189"/>
      <c r="AJ288" s="189"/>
      <c r="AK288" s="189"/>
      <c r="AL288" s="189"/>
      <c r="AM288" s="189"/>
    </row>
    <row r="289" ht="15.75" customHeight="1">
      <c r="A289" s="189">
        <f t="shared" si="2"/>
        <v>281</v>
      </c>
      <c r="B289" s="190">
        <f t="shared" si="3"/>
        <v>111738.2108</v>
      </c>
      <c r="C289" s="190">
        <f t="shared" si="4"/>
        <v>1671.57082</v>
      </c>
      <c r="D289" s="190">
        <f t="shared" si="5"/>
        <v>512.1334663</v>
      </c>
      <c r="E289" s="190">
        <f t="shared" si="6"/>
        <v>1159.437354</v>
      </c>
      <c r="F289" s="190">
        <f t="shared" si="1"/>
        <v>110578.7735</v>
      </c>
      <c r="G289" s="191">
        <f t="shared" si="7"/>
        <v>298969.2364</v>
      </c>
      <c r="H289" s="189"/>
      <c r="I289" s="189"/>
      <c r="J289" s="189"/>
      <c r="K289" s="189"/>
      <c r="L289" s="189"/>
      <c r="M289" s="189"/>
      <c r="N289" s="189"/>
      <c r="O289" s="189"/>
      <c r="P289" s="189"/>
      <c r="Q289" s="189"/>
      <c r="R289" s="189"/>
      <c r="S289" s="189"/>
      <c r="T289" s="189"/>
      <c r="U289" s="189"/>
      <c r="V289" s="189"/>
      <c r="W289" s="189"/>
      <c r="X289" s="189"/>
      <c r="Y289" s="189"/>
      <c r="Z289" s="189"/>
      <c r="AA289" s="189"/>
      <c r="AB289" s="189"/>
      <c r="AC289" s="189"/>
      <c r="AD289" s="189"/>
      <c r="AE289" s="189"/>
      <c r="AF289" s="189"/>
      <c r="AG289" s="189"/>
      <c r="AH289" s="189"/>
      <c r="AI289" s="189"/>
      <c r="AJ289" s="189"/>
      <c r="AK289" s="189"/>
      <c r="AL289" s="189"/>
      <c r="AM289" s="189"/>
    </row>
    <row r="290" ht="15.75" customHeight="1">
      <c r="A290" s="189">
        <f t="shared" si="2"/>
        <v>282</v>
      </c>
      <c r="B290" s="190">
        <f t="shared" si="3"/>
        <v>110578.7735</v>
      </c>
      <c r="C290" s="190">
        <f t="shared" si="4"/>
        <v>1671.57082</v>
      </c>
      <c r="D290" s="190">
        <f t="shared" si="5"/>
        <v>506.8193785</v>
      </c>
      <c r="E290" s="190">
        <f t="shared" si="6"/>
        <v>1164.751442</v>
      </c>
      <c r="F290" s="190">
        <f t="shared" si="1"/>
        <v>109414.022</v>
      </c>
      <c r="G290" s="191">
        <f t="shared" si="7"/>
        <v>299706.5752</v>
      </c>
      <c r="H290" s="189"/>
      <c r="I290" s="189"/>
      <c r="J290" s="189"/>
      <c r="K290" s="189"/>
      <c r="L290" s="189"/>
      <c r="M290" s="189"/>
      <c r="N290" s="189"/>
      <c r="O290" s="189"/>
      <c r="P290" s="189"/>
      <c r="Q290" s="189"/>
      <c r="R290" s="189"/>
      <c r="S290" s="189"/>
      <c r="T290" s="189"/>
      <c r="U290" s="189"/>
      <c r="V290" s="189"/>
      <c r="W290" s="189"/>
      <c r="X290" s="189"/>
      <c r="Y290" s="189"/>
      <c r="Z290" s="189"/>
      <c r="AA290" s="189"/>
      <c r="AB290" s="189"/>
      <c r="AC290" s="189"/>
      <c r="AD290" s="189"/>
      <c r="AE290" s="189"/>
      <c r="AF290" s="189"/>
      <c r="AG290" s="189"/>
      <c r="AH290" s="189"/>
      <c r="AI290" s="189"/>
      <c r="AJ290" s="189"/>
      <c r="AK290" s="189"/>
      <c r="AL290" s="189"/>
      <c r="AM290" s="189"/>
    </row>
    <row r="291" ht="15.75" customHeight="1">
      <c r="A291" s="189">
        <f t="shared" si="2"/>
        <v>283</v>
      </c>
      <c r="B291" s="190">
        <f t="shared" si="3"/>
        <v>109414.022</v>
      </c>
      <c r="C291" s="190">
        <f t="shared" si="4"/>
        <v>1671.57082</v>
      </c>
      <c r="D291" s="190">
        <f t="shared" si="5"/>
        <v>501.4809344</v>
      </c>
      <c r="E291" s="190">
        <f t="shared" si="6"/>
        <v>1170.089886</v>
      </c>
      <c r="F291" s="190">
        <f t="shared" si="1"/>
        <v>108243.9322</v>
      </c>
      <c r="G291" s="191">
        <f t="shared" si="7"/>
        <v>300445.7324</v>
      </c>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row>
    <row r="292" ht="15.75" customHeight="1">
      <c r="A292" s="189">
        <f t="shared" si="2"/>
        <v>284</v>
      </c>
      <c r="B292" s="190">
        <f t="shared" si="3"/>
        <v>108243.9322</v>
      </c>
      <c r="C292" s="190">
        <f t="shared" si="4"/>
        <v>1671.57082</v>
      </c>
      <c r="D292" s="190">
        <f t="shared" si="5"/>
        <v>496.1180224</v>
      </c>
      <c r="E292" s="190">
        <f t="shared" si="6"/>
        <v>1175.452798</v>
      </c>
      <c r="F292" s="190">
        <f t="shared" si="1"/>
        <v>107068.4794</v>
      </c>
      <c r="G292" s="191">
        <f t="shared" si="7"/>
        <v>301186.7127</v>
      </c>
      <c r="H292" s="189"/>
      <c r="I292" s="189"/>
      <c r="J292" s="189"/>
      <c r="K292" s="189"/>
      <c r="L292" s="189"/>
      <c r="M292" s="189"/>
      <c r="N292" s="189"/>
      <c r="O292" s="189"/>
      <c r="P292" s="189"/>
      <c r="Q292" s="189"/>
      <c r="R292" s="189"/>
      <c r="S292" s="189"/>
      <c r="T292" s="189"/>
      <c r="U292" s="189"/>
      <c r="V292" s="189"/>
      <c r="W292" s="189"/>
      <c r="X292" s="189"/>
      <c r="Y292" s="189"/>
      <c r="Z292" s="189"/>
      <c r="AA292" s="189"/>
      <c r="AB292" s="189"/>
      <c r="AC292" s="189"/>
      <c r="AD292" s="189"/>
      <c r="AE292" s="189"/>
      <c r="AF292" s="189"/>
      <c r="AG292" s="189"/>
      <c r="AH292" s="189"/>
      <c r="AI292" s="189"/>
      <c r="AJ292" s="189"/>
      <c r="AK292" s="189"/>
      <c r="AL292" s="189"/>
      <c r="AM292" s="189"/>
    </row>
    <row r="293" ht="15.75" customHeight="1">
      <c r="A293" s="189">
        <f t="shared" si="2"/>
        <v>285</v>
      </c>
      <c r="B293" s="190">
        <f t="shared" si="3"/>
        <v>107068.4794</v>
      </c>
      <c r="C293" s="190">
        <f t="shared" si="4"/>
        <v>1671.57082</v>
      </c>
      <c r="D293" s="190">
        <f t="shared" si="5"/>
        <v>490.7305304</v>
      </c>
      <c r="E293" s="190">
        <f t="shared" si="6"/>
        <v>1180.84029</v>
      </c>
      <c r="F293" s="190">
        <f t="shared" si="1"/>
        <v>105887.6391</v>
      </c>
      <c r="G293" s="191">
        <f t="shared" si="7"/>
        <v>301929.5203</v>
      </c>
      <c r="H293" s="189"/>
      <c r="I293" s="189"/>
      <c r="J293" s="189"/>
      <c r="K293" s="189"/>
      <c r="L293" s="189"/>
      <c r="M293" s="189"/>
      <c r="N293" s="189"/>
      <c r="O293" s="189"/>
      <c r="P293" s="189"/>
      <c r="Q293" s="189"/>
      <c r="R293" s="189"/>
      <c r="S293" s="189"/>
      <c r="T293" s="189"/>
      <c r="U293" s="189"/>
      <c r="V293" s="189"/>
      <c r="W293" s="189"/>
      <c r="X293" s="189"/>
      <c r="Y293" s="189"/>
      <c r="Z293" s="189"/>
      <c r="AA293" s="189"/>
      <c r="AB293" s="189"/>
      <c r="AC293" s="189"/>
      <c r="AD293" s="189"/>
      <c r="AE293" s="189"/>
      <c r="AF293" s="189"/>
      <c r="AG293" s="189"/>
      <c r="AH293" s="189"/>
      <c r="AI293" s="189"/>
      <c r="AJ293" s="189"/>
      <c r="AK293" s="189"/>
      <c r="AL293" s="189"/>
      <c r="AM293" s="189"/>
    </row>
    <row r="294" ht="15.75" customHeight="1">
      <c r="A294" s="189">
        <f t="shared" si="2"/>
        <v>286</v>
      </c>
      <c r="B294" s="190">
        <f t="shared" si="3"/>
        <v>105887.6391</v>
      </c>
      <c r="C294" s="190">
        <f t="shared" si="4"/>
        <v>1671.57082</v>
      </c>
      <c r="D294" s="190">
        <f t="shared" si="5"/>
        <v>485.3183457</v>
      </c>
      <c r="E294" s="190">
        <f t="shared" si="6"/>
        <v>1186.252474</v>
      </c>
      <c r="F294" s="190">
        <f t="shared" si="1"/>
        <v>104701.3866</v>
      </c>
      <c r="G294" s="191">
        <f t="shared" si="7"/>
        <v>302674.16</v>
      </c>
      <c r="H294" s="189"/>
      <c r="I294" s="189"/>
      <c r="J294" s="189"/>
      <c r="K294" s="189"/>
      <c r="L294" s="189"/>
      <c r="M294" s="189"/>
      <c r="N294" s="189"/>
      <c r="O294" s="189"/>
      <c r="P294" s="189"/>
      <c r="Q294" s="189"/>
      <c r="R294" s="189"/>
      <c r="S294" s="189"/>
      <c r="T294" s="189"/>
      <c r="U294" s="189"/>
      <c r="V294" s="189"/>
      <c r="W294" s="189"/>
      <c r="X294" s="189"/>
      <c r="Y294" s="189"/>
      <c r="Z294" s="189"/>
      <c r="AA294" s="189"/>
      <c r="AB294" s="189"/>
      <c r="AC294" s="189"/>
      <c r="AD294" s="189"/>
      <c r="AE294" s="189"/>
      <c r="AF294" s="189"/>
      <c r="AG294" s="189"/>
      <c r="AH294" s="189"/>
      <c r="AI294" s="189"/>
      <c r="AJ294" s="189"/>
      <c r="AK294" s="189"/>
      <c r="AL294" s="189"/>
      <c r="AM294" s="189"/>
    </row>
    <row r="295" ht="15.75" customHeight="1">
      <c r="A295" s="189">
        <f t="shared" si="2"/>
        <v>287</v>
      </c>
      <c r="B295" s="190">
        <f t="shared" si="3"/>
        <v>104701.3866</v>
      </c>
      <c r="C295" s="190">
        <f t="shared" si="4"/>
        <v>1671.57082</v>
      </c>
      <c r="D295" s="190">
        <f t="shared" si="5"/>
        <v>479.8813552</v>
      </c>
      <c r="E295" s="190">
        <f t="shared" si="6"/>
        <v>1191.689465</v>
      </c>
      <c r="F295" s="190">
        <f t="shared" si="1"/>
        <v>103509.6971</v>
      </c>
      <c r="G295" s="191">
        <f t="shared" si="7"/>
        <v>303420.6361</v>
      </c>
      <c r="H295" s="189"/>
      <c r="I295" s="189"/>
      <c r="J295" s="189"/>
      <c r="K295" s="189"/>
      <c r="L295" s="189"/>
      <c r="M295" s="189"/>
      <c r="N295" s="189"/>
      <c r="O295" s="189"/>
      <c r="P295" s="189"/>
      <c r="Q295" s="189"/>
      <c r="R295" s="189"/>
      <c r="S295" s="189"/>
      <c r="T295" s="189"/>
      <c r="U295" s="189"/>
      <c r="V295" s="189"/>
      <c r="W295" s="189"/>
      <c r="X295" s="189"/>
      <c r="Y295" s="189"/>
      <c r="Z295" s="189"/>
      <c r="AA295" s="189"/>
      <c r="AB295" s="189"/>
      <c r="AC295" s="189"/>
      <c r="AD295" s="189"/>
      <c r="AE295" s="189"/>
      <c r="AF295" s="189"/>
      <c r="AG295" s="189"/>
      <c r="AH295" s="189"/>
      <c r="AI295" s="189"/>
      <c r="AJ295" s="189"/>
      <c r="AK295" s="189"/>
      <c r="AL295" s="189"/>
      <c r="AM295" s="189"/>
    </row>
    <row r="296" ht="15.75" customHeight="1">
      <c r="A296" s="189">
        <f t="shared" si="2"/>
        <v>288</v>
      </c>
      <c r="B296" s="190">
        <f t="shared" si="3"/>
        <v>103509.6971</v>
      </c>
      <c r="C296" s="190">
        <f t="shared" si="4"/>
        <v>1671.57082</v>
      </c>
      <c r="D296" s="190">
        <f t="shared" si="5"/>
        <v>474.4194452</v>
      </c>
      <c r="E296" s="190">
        <f t="shared" si="6"/>
        <v>1197.151375</v>
      </c>
      <c r="F296" s="190">
        <f t="shared" si="1"/>
        <v>102312.5458</v>
      </c>
      <c r="G296" s="191">
        <f t="shared" si="7"/>
        <v>304168.9533</v>
      </c>
      <c r="H296" s="189"/>
      <c r="I296" s="189"/>
      <c r="J296" s="189"/>
      <c r="K296" s="189"/>
      <c r="L296" s="189"/>
      <c r="M296" s="189"/>
      <c r="N296" s="189"/>
      <c r="O296" s="189"/>
      <c r="P296" s="189"/>
      <c r="Q296" s="189"/>
      <c r="R296" s="189"/>
      <c r="S296" s="189"/>
      <c r="T296" s="189"/>
      <c r="U296" s="189"/>
      <c r="V296" s="189"/>
      <c r="W296" s="189"/>
      <c r="X296" s="189"/>
      <c r="Y296" s="189"/>
      <c r="Z296" s="189"/>
      <c r="AA296" s="189"/>
      <c r="AB296" s="189"/>
      <c r="AC296" s="189"/>
      <c r="AD296" s="189"/>
      <c r="AE296" s="189"/>
      <c r="AF296" s="189"/>
      <c r="AG296" s="189"/>
      <c r="AH296" s="189"/>
      <c r="AI296" s="189"/>
      <c r="AJ296" s="189"/>
      <c r="AK296" s="189"/>
      <c r="AL296" s="189"/>
      <c r="AM296" s="189"/>
    </row>
    <row r="297" ht="15.75" customHeight="1">
      <c r="A297" s="189">
        <f t="shared" si="2"/>
        <v>289</v>
      </c>
      <c r="B297" s="190">
        <f t="shared" si="3"/>
        <v>102312.5458</v>
      </c>
      <c r="C297" s="190">
        <f t="shared" si="4"/>
        <v>1671.57082</v>
      </c>
      <c r="D297" s="190">
        <f t="shared" si="5"/>
        <v>468.9325014</v>
      </c>
      <c r="E297" s="190">
        <f t="shared" si="6"/>
        <v>1202.638319</v>
      </c>
      <c r="F297" s="190">
        <f t="shared" si="1"/>
        <v>101109.9074</v>
      </c>
      <c r="G297" s="191">
        <f t="shared" si="7"/>
        <v>304919.116</v>
      </c>
      <c r="H297" s="189"/>
      <c r="I297" s="189"/>
      <c r="J297" s="189"/>
      <c r="K297" s="189"/>
      <c r="L297" s="189"/>
      <c r="M297" s="189"/>
      <c r="N297" s="189"/>
      <c r="O297" s="189"/>
      <c r="P297" s="189"/>
      <c r="Q297" s="189"/>
      <c r="R297" s="189"/>
      <c r="S297" s="189"/>
      <c r="T297" s="189"/>
      <c r="U297" s="189"/>
      <c r="V297" s="189"/>
      <c r="W297" s="189"/>
      <c r="X297" s="189"/>
      <c r="Y297" s="189"/>
      <c r="Z297" s="189"/>
      <c r="AA297" s="189"/>
      <c r="AB297" s="189"/>
      <c r="AC297" s="189"/>
      <c r="AD297" s="189"/>
      <c r="AE297" s="189"/>
      <c r="AF297" s="189"/>
      <c r="AG297" s="189"/>
      <c r="AH297" s="189"/>
      <c r="AI297" s="189"/>
      <c r="AJ297" s="189"/>
      <c r="AK297" s="189"/>
      <c r="AL297" s="189"/>
      <c r="AM297" s="189"/>
    </row>
    <row r="298" ht="15.75" customHeight="1">
      <c r="A298" s="189">
        <f t="shared" si="2"/>
        <v>290</v>
      </c>
      <c r="B298" s="190">
        <f t="shared" si="3"/>
        <v>101109.9074</v>
      </c>
      <c r="C298" s="190">
        <f t="shared" si="4"/>
        <v>1671.57082</v>
      </c>
      <c r="D298" s="190">
        <f t="shared" si="5"/>
        <v>463.4204091</v>
      </c>
      <c r="E298" s="190">
        <f t="shared" si="6"/>
        <v>1208.150411</v>
      </c>
      <c r="F298" s="190">
        <f t="shared" si="1"/>
        <v>99901.75702</v>
      </c>
      <c r="G298" s="191">
        <f t="shared" si="7"/>
        <v>305671.1288</v>
      </c>
      <c r="H298" s="189"/>
      <c r="I298" s="189"/>
      <c r="J298" s="189"/>
      <c r="K298" s="189"/>
      <c r="L298" s="189"/>
      <c r="M298" s="189"/>
      <c r="N298" s="189"/>
      <c r="O298" s="189"/>
      <c r="P298" s="189"/>
      <c r="Q298" s="189"/>
      <c r="R298" s="189"/>
      <c r="S298" s="189"/>
      <c r="T298" s="189"/>
      <c r="U298" s="189"/>
      <c r="V298" s="189"/>
      <c r="W298" s="189"/>
      <c r="X298" s="189"/>
      <c r="Y298" s="189"/>
      <c r="Z298" s="189"/>
      <c r="AA298" s="189"/>
      <c r="AB298" s="189"/>
      <c r="AC298" s="189"/>
      <c r="AD298" s="189"/>
      <c r="AE298" s="189"/>
      <c r="AF298" s="189"/>
      <c r="AG298" s="189"/>
      <c r="AH298" s="189"/>
      <c r="AI298" s="189"/>
      <c r="AJ298" s="189"/>
      <c r="AK298" s="189"/>
      <c r="AL298" s="189"/>
      <c r="AM298" s="189"/>
    </row>
    <row r="299" ht="15.75" customHeight="1">
      <c r="A299" s="189">
        <f t="shared" si="2"/>
        <v>291</v>
      </c>
      <c r="B299" s="190">
        <f t="shared" si="3"/>
        <v>99901.75702</v>
      </c>
      <c r="C299" s="190">
        <f t="shared" si="4"/>
        <v>1671.57082</v>
      </c>
      <c r="D299" s="190">
        <f t="shared" si="5"/>
        <v>457.883053</v>
      </c>
      <c r="E299" s="190">
        <f t="shared" si="6"/>
        <v>1213.687767</v>
      </c>
      <c r="F299" s="190">
        <f t="shared" si="1"/>
        <v>98688.06926</v>
      </c>
      <c r="G299" s="191">
        <f t="shared" si="7"/>
        <v>306424.9962</v>
      </c>
      <c r="H299" s="189"/>
      <c r="I299" s="189"/>
      <c r="J299" s="189"/>
      <c r="K299" s="189"/>
      <c r="L299" s="189"/>
      <c r="M299" s="189"/>
      <c r="N299" s="189"/>
      <c r="O299" s="189"/>
      <c r="P299" s="189"/>
      <c r="Q299" s="189"/>
      <c r="R299" s="189"/>
      <c r="S299" s="189"/>
      <c r="T299" s="189"/>
      <c r="U299" s="189"/>
      <c r="V299" s="189"/>
      <c r="W299" s="189"/>
      <c r="X299" s="189"/>
      <c r="Y299" s="189"/>
      <c r="Z299" s="189"/>
      <c r="AA299" s="189"/>
      <c r="AB299" s="189"/>
      <c r="AC299" s="189"/>
      <c r="AD299" s="189"/>
      <c r="AE299" s="189"/>
      <c r="AF299" s="189"/>
      <c r="AG299" s="189"/>
      <c r="AH299" s="189"/>
      <c r="AI299" s="189"/>
      <c r="AJ299" s="189"/>
      <c r="AK299" s="189"/>
      <c r="AL299" s="189"/>
      <c r="AM299" s="189"/>
    </row>
    <row r="300" ht="15.75" customHeight="1">
      <c r="A300" s="189">
        <f t="shared" si="2"/>
        <v>292</v>
      </c>
      <c r="B300" s="190">
        <f t="shared" si="3"/>
        <v>98688.06926</v>
      </c>
      <c r="C300" s="190">
        <f t="shared" si="4"/>
        <v>1671.57082</v>
      </c>
      <c r="D300" s="190">
        <f t="shared" si="5"/>
        <v>452.3203174</v>
      </c>
      <c r="E300" s="190">
        <f t="shared" si="6"/>
        <v>1219.250503</v>
      </c>
      <c r="F300" s="190">
        <f t="shared" si="1"/>
        <v>97468.81876</v>
      </c>
      <c r="G300" s="191">
        <f t="shared" si="7"/>
        <v>307180.7229</v>
      </c>
      <c r="H300" s="189"/>
      <c r="I300" s="189"/>
      <c r="J300" s="189"/>
      <c r="K300" s="189"/>
      <c r="L300" s="189"/>
      <c r="M300" s="189"/>
      <c r="N300" s="189"/>
      <c r="O300" s="189"/>
      <c r="P300" s="189"/>
      <c r="Q300" s="189"/>
      <c r="R300" s="189"/>
      <c r="S300" s="189"/>
      <c r="T300" s="189"/>
      <c r="U300" s="189"/>
      <c r="V300" s="189"/>
      <c r="W300" s="189"/>
      <c r="X300" s="189"/>
      <c r="Y300" s="189"/>
      <c r="Z300" s="189"/>
      <c r="AA300" s="189"/>
      <c r="AB300" s="189"/>
      <c r="AC300" s="189"/>
      <c r="AD300" s="189"/>
      <c r="AE300" s="189"/>
      <c r="AF300" s="189"/>
      <c r="AG300" s="189"/>
      <c r="AH300" s="189"/>
      <c r="AI300" s="189"/>
      <c r="AJ300" s="189"/>
      <c r="AK300" s="189"/>
      <c r="AL300" s="189"/>
      <c r="AM300" s="189"/>
    </row>
    <row r="301" ht="15.75" customHeight="1">
      <c r="A301" s="189">
        <f t="shared" si="2"/>
        <v>293</v>
      </c>
      <c r="B301" s="190">
        <f t="shared" si="3"/>
        <v>97468.81876</v>
      </c>
      <c r="C301" s="190">
        <f t="shared" si="4"/>
        <v>1671.57082</v>
      </c>
      <c r="D301" s="190">
        <f t="shared" si="5"/>
        <v>446.732086</v>
      </c>
      <c r="E301" s="190">
        <f t="shared" si="6"/>
        <v>1224.838734</v>
      </c>
      <c r="F301" s="190">
        <f t="shared" si="1"/>
        <v>96243.98002</v>
      </c>
      <c r="G301" s="191">
        <f t="shared" si="7"/>
        <v>307938.3135</v>
      </c>
      <c r="H301" s="189"/>
      <c r="I301" s="189"/>
      <c r="J301" s="189"/>
      <c r="K301" s="189"/>
      <c r="L301" s="189"/>
      <c r="M301" s="189"/>
      <c r="N301" s="189"/>
      <c r="O301" s="189"/>
      <c r="P301" s="189"/>
      <c r="Q301" s="189"/>
      <c r="R301" s="189"/>
      <c r="S301" s="189"/>
      <c r="T301" s="189"/>
      <c r="U301" s="189"/>
      <c r="V301" s="189"/>
      <c r="W301" s="189"/>
      <c r="X301" s="189"/>
      <c r="Y301" s="189"/>
      <c r="Z301" s="189"/>
      <c r="AA301" s="189"/>
      <c r="AB301" s="189"/>
      <c r="AC301" s="189"/>
      <c r="AD301" s="189"/>
      <c r="AE301" s="189"/>
      <c r="AF301" s="189"/>
      <c r="AG301" s="189"/>
      <c r="AH301" s="189"/>
      <c r="AI301" s="189"/>
      <c r="AJ301" s="189"/>
      <c r="AK301" s="189"/>
      <c r="AL301" s="189"/>
      <c r="AM301" s="189"/>
    </row>
    <row r="302" ht="15.75" customHeight="1">
      <c r="A302" s="189">
        <f t="shared" si="2"/>
        <v>294</v>
      </c>
      <c r="B302" s="190">
        <f t="shared" si="3"/>
        <v>96243.98002</v>
      </c>
      <c r="C302" s="190">
        <f t="shared" si="4"/>
        <v>1671.57082</v>
      </c>
      <c r="D302" s="190">
        <f t="shared" si="5"/>
        <v>441.1182418</v>
      </c>
      <c r="E302" s="190">
        <f t="shared" si="6"/>
        <v>1230.452578</v>
      </c>
      <c r="F302" s="190">
        <f t="shared" si="1"/>
        <v>95013.52744</v>
      </c>
      <c r="G302" s="191">
        <f t="shared" si="7"/>
        <v>308697.7724</v>
      </c>
      <c r="H302" s="189"/>
      <c r="I302" s="189"/>
      <c r="J302" s="189"/>
      <c r="K302" s="189"/>
      <c r="L302" s="189"/>
      <c r="M302" s="189"/>
      <c r="N302" s="189"/>
      <c r="O302" s="189"/>
      <c r="P302" s="189"/>
      <c r="Q302" s="189"/>
      <c r="R302" s="189"/>
      <c r="S302" s="189"/>
      <c r="T302" s="189"/>
      <c r="U302" s="189"/>
      <c r="V302" s="189"/>
      <c r="W302" s="189"/>
      <c r="X302" s="189"/>
      <c r="Y302" s="189"/>
      <c r="Z302" s="189"/>
      <c r="AA302" s="189"/>
      <c r="AB302" s="189"/>
      <c r="AC302" s="189"/>
      <c r="AD302" s="189"/>
      <c r="AE302" s="189"/>
      <c r="AF302" s="189"/>
      <c r="AG302" s="189"/>
      <c r="AH302" s="189"/>
      <c r="AI302" s="189"/>
      <c r="AJ302" s="189"/>
      <c r="AK302" s="189"/>
      <c r="AL302" s="189"/>
      <c r="AM302" s="189"/>
    </row>
    <row r="303" ht="15.75" customHeight="1">
      <c r="A303" s="189">
        <f t="shared" si="2"/>
        <v>295</v>
      </c>
      <c r="B303" s="190">
        <f t="shared" si="3"/>
        <v>95013.52744</v>
      </c>
      <c r="C303" s="190">
        <f t="shared" si="4"/>
        <v>1671.57082</v>
      </c>
      <c r="D303" s="190">
        <f t="shared" si="5"/>
        <v>435.4786674</v>
      </c>
      <c r="E303" s="190">
        <f t="shared" si="6"/>
        <v>1236.092153</v>
      </c>
      <c r="F303" s="190">
        <f t="shared" si="1"/>
        <v>93777.43529</v>
      </c>
      <c r="G303" s="191">
        <f t="shared" si="7"/>
        <v>309459.1044</v>
      </c>
      <c r="H303" s="189"/>
      <c r="I303" s="189"/>
      <c r="J303" s="189"/>
      <c r="K303" s="189"/>
      <c r="L303" s="189"/>
      <c r="M303" s="189"/>
      <c r="N303" s="189"/>
      <c r="O303" s="189"/>
      <c r="P303" s="189"/>
      <c r="Q303" s="189"/>
      <c r="R303" s="189"/>
      <c r="S303" s="189"/>
      <c r="T303" s="189"/>
      <c r="U303" s="189"/>
      <c r="V303" s="189"/>
      <c r="W303" s="189"/>
      <c r="X303" s="189"/>
      <c r="Y303" s="189"/>
      <c r="Z303" s="189"/>
      <c r="AA303" s="189"/>
      <c r="AB303" s="189"/>
      <c r="AC303" s="189"/>
      <c r="AD303" s="189"/>
      <c r="AE303" s="189"/>
      <c r="AF303" s="189"/>
      <c r="AG303" s="189"/>
      <c r="AH303" s="189"/>
      <c r="AI303" s="189"/>
      <c r="AJ303" s="189"/>
      <c r="AK303" s="189"/>
      <c r="AL303" s="189"/>
      <c r="AM303" s="189"/>
    </row>
    <row r="304" ht="15.75" customHeight="1">
      <c r="A304" s="189">
        <f t="shared" si="2"/>
        <v>296</v>
      </c>
      <c r="B304" s="190">
        <f t="shared" si="3"/>
        <v>93777.43529</v>
      </c>
      <c r="C304" s="190">
        <f t="shared" si="4"/>
        <v>1671.57082</v>
      </c>
      <c r="D304" s="190">
        <f t="shared" si="5"/>
        <v>429.8132451</v>
      </c>
      <c r="E304" s="190">
        <f t="shared" si="6"/>
        <v>1241.757575</v>
      </c>
      <c r="F304" s="190">
        <f t="shared" si="1"/>
        <v>92535.67772</v>
      </c>
      <c r="G304" s="191">
        <f t="shared" si="7"/>
        <v>310222.314</v>
      </c>
      <c r="H304" s="189"/>
      <c r="I304" s="189"/>
      <c r="J304" s="189"/>
      <c r="K304" s="189"/>
      <c r="L304" s="189"/>
      <c r="M304" s="189"/>
      <c r="N304" s="189"/>
      <c r="O304" s="189"/>
      <c r="P304" s="189"/>
      <c r="Q304" s="189"/>
      <c r="R304" s="189"/>
      <c r="S304" s="189"/>
      <c r="T304" s="189"/>
      <c r="U304" s="189"/>
      <c r="V304" s="189"/>
      <c r="W304" s="189"/>
      <c r="X304" s="189"/>
      <c r="Y304" s="189"/>
      <c r="Z304" s="189"/>
      <c r="AA304" s="189"/>
      <c r="AB304" s="189"/>
      <c r="AC304" s="189"/>
      <c r="AD304" s="189"/>
      <c r="AE304" s="189"/>
      <c r="AF304" s="189"/>
      <c r="AG304" s="189"/>
      <c r="AH304" s="189"/>
      <c r="AI304" s="189"/>
      <c r="AJ304" s="189"/>
      <c r="AK304" s="189"/>
      <c r="AL304" s="189"/>
      <c r="AM304" s="189"/>
    </row>
    <row r="305" ht="15.75" customHeight="1">
      <c r="A305" s="189">
        <f t="shared" si="2"/>
        <v>297</v>
      </c>
      <c r="B305" s="190">
        <f t="shared" si="3"/>
        <v>92535.67772</v>
      </c>
      <c r="C305" s="190">
        <f t="shared" si="4"/>
        <v>1671.57082</v>
      </c>
      <c r="D305" s="190">
        <f t="shared" si="5"/>
        <v>424.1218562</v>
      </c>
      <c r="E305" s="190">
        <f t="shared" si="6"/>
        <v>1247.448964</v>
      </c>
      <c r="F305" s="190">
        <f t="shared" si="1"/>
        <v>91288.22875</v>
      </c>
      <c r="G305" s="191">
        <f t="shared" si="7"/>
        <v>310987.406</v>
      </c>
      <c r="H305" s="189"/>
      <c r="I305" s="189"/>
      <c r="J305" s="189"/>
      <c r="K305" s="189"/>
      <c r="L305" s="189"/>
      <c r="M305" s="189"/>
      <c r="N305" s="189"/>
      <c r="O305" s="189"/>
      <c r="P305" s="189"/>
      <c r="Q305" s="189"/>
      <c r="R305" s="189"/>
      <c r="S305" s="189"/>
      <c r="T305" s="189"/>
      <c r="U305" s="189"/>
      <c r="V305" s="189"/>
      <c r="W305" s="189"/>
      <c r="X305" s="189"/>
      <c r="Y305" s="189"/>
      <c r="Z305" s="189"/>
      <c r="AA305" s="189"/>
      <c r="AB305" s="189"/>
      <c r="AC305" s="189"/>
      <c r="AD305" s="189"/>
      <c r="AE305" s="189"/>
      <c r="AF305" s="189"/>
      <c r="AG305" s="189"/>
      <c r="AH305" s="189"/>
      <c r="AI305" s="189"/>
      <c r="AJ305" s="189"/>
      <c r="AK305" s="189"/>
      <c r="AL305" s="189"/>
      <c r="AM305" s="189"/>
    </row>
    <row r="306" ht="15.75" customHeight="1">
      <c r="A306" s="189">
        <f t="shared" si="2"/>
        <v>298</v>
      </c>
      <c r="B306" s="190">
        <f t="shared" si="3"/>
        <v>91288.22875</v>
      </c>
      <c r="C306" s="190">
        <f t="shared" si="4"/>
        <v>1671.57082</v>
      </c>
      <c r="D306" s="190">
        <f t="shared" si="5"/>
        <v>418.4043818</v>
      </c>
      <c r="E306" s="190">
        <f t="shared" si="6"/>
        <v>1253.166438</v>
      </c>
      <c r="F306" s="190">
        <f t="shared" si="1"/>
        <v>90035.06231</v>
      </c>
      <c r="G306" s="191">
        <f t="shared" si="7"/>
        <v>311754.3848</v>
      </c>
      <c r="H306" s="189"/>
      <c r="I306" s="189"/>
      <c r="J306" s="189"/>
      <c r="K306" s="189"/>
      <c r="L306" s="189"/>
      <c r="M306" s="189"/>
      <c r="N306" s="189"/>
      <c r="O306" s="189"/>
      <c r="P306" s="189"/>
      <c r="Q306" s="189"/>
      <c r="R306" s="189"/>
      <c r="S306" s="189"/>
      <c r="T306" s="189"/>
      <c r="U306" s="189"/>
      <c r="V306" s="189"/>
      <c r="W306" s="189"/>
      <c r="X306" s="189"/>
      <c r="Y306" s="189"/>
      <c r="Z306" s="189"/>
      <c r="AA306" s="189"/>
      <c r="AB306" s="189"/>
      <c r="AC306" s="189"/>
      <c r="AD306" s="189"/>
      <c r="AE306" s="189"/>
      <c r="AF306" s="189"/>
      <c r="AG306" s="189"/>
      <c r="AH306" s="189"/>
      <c r="AI306" s="189"/>
      <c r="AJ306" s="189"/>
      <c r="AK306" s="189"/>
      <c r="AL306" s="189"/>
      <c r="AM306" s="189"/>
    </row>
    <row r="307" ht="15.75" customHeight="1">
      <c r="A307" s="189">
        <f t="shared" si="2"/>
        <v>299</v>
      </c>
      <c r="B307" s="190">
        <f t="shared" si="3"/>
        <v>90035.06231</v>
      </c>
      <c r="C307" s="190">
        <f t="shared" si="4"/>
        <v>1671.57082</v>
      </c>
      <c r="D307" s="190">
        <f t="shared" si="5"/>
        <v>412.6607023</v>
      </c>
      <c r="E307" s="190">
        <f t="shared" si="6"/>
        <v>1258.910118</v>
      </c>
      <c r="F307" s="190">
        <f t="shared" si="1"/>
        <v>88776.1522</v>
      </c>
      <c r="G307" s="191">
        <f t="shared" si="7"/>
        <v>312523.2552</v>
      </c>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row>
    <row r="308" ht="15.75" customHeight="1">
      <c r="A308" s="189">
        <f t="shared" si="2"/>
        <v>300</v>
      </c>
      <c r="B308" s="190">
        <f t="shared" si="3"/>
        <v>88776.1522</v>
      </c>
      <c r="C308" s="190">
        <f t="shared" si="4"/>
        <v>1671.57082</v>
      </c>
      <c r="D308" s="190">
        <f t="shared" si="5"/>
        <v>406.8906976</v>
      </c>
      <c r="E308" s="190">
        <f t="shared" si="6"/>
        <v>1264.680122</v>
      </c>
      <c r="F308" s="190">
        <f t="shared" si="1"/>
        <v>87511.47207</v>
      </c>
      <c r="G308" s="191">
        <f t="shared" si="7"/>
        <v>313294.0219</v>
      </c>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row>
    <row r="309" ht="15.75" customHeight="1">
      <c r="A309" s="189">
        <f t="shared" si="2"/>
        <v>301</v>
      </c>
      <c r="B309" s="190">
        <f t="shared" si="3"/>
        <v>87511.47207</v>
      </c>
      <c r="C309" s="190">
        <f t="shared" si="4"/>
        <v>1671.57082</v>
      </c>
      <c r="D309" s="190">
        <f t="shared" si="5"/>
        <v>401.094247</v>
      </c>
      <c r="E309" s="190">
        <f t="shared" si="6"/>
        <v>1270.476573</v>
      </c>
      <c r="F309" s="190">
        <f t="shared" si="1"/>
        <v>86240.9955</v>
      </c>
      <c r="G309" s="191">
        <f t="shared" si="7"/>
        <v>314066.6894</v>
      </c>
      <c r="H309" s="189"/>
      <c r="I309" s="189"/>
      <c r="J309" s="189"/>
      <c r="K309" s="189"/>
      <c r="L309" s="189"/>
      <c r="M309" s="189"/>
      <c r="N309" s="189"/>
      <c r="O309" s="189"/>
      <c r="P309" s="189"/>
      <c r="Q309" s="189"/>
      <c r="R309" s="189"/>
      <c r="S309" s="189"/>
      <c r="T309" s="189"/>
      <c r="U309" s="189"/>
      <c r="V309" s="189"/>
      <c r="W309" s="189"/>
      <c r="X309" s="189"/>
      <c r="Y309" s="189"/>
      <c r="Z309" s="189"/>
      <c r="AA309" s="189"/>
      <c r="AB309" s="189"/>
      <c r="AC309" s="189"/>
      <c r="AD309" s="189"/>
      <c r="AE309" s="189"/>
      <c r="AF309" s="189"/>
      <c r="AG309" s="189"/>
      <c r="AH309" s="189"/>
      <c r="AI309" s="189"/>
      <c r="AJ309" s="189"/>
      <c r="AK309" s="189"/>
      <c r="AL309" s="189"/>
      <c r="AM309" s="189"/>
    </row>
    <row r="310" ht="15.75" customHeight="1">
      <c r="A310" s="189">
        <f t="shared" si="2"/>
        <v>302</v>
      </c>
      <c r="B310" s="190">
        <f t="shared" si="3"/>
        <v>86240.9955</v>
      </c>
      <c r="C310" s="190">
        <f t="shared" si="4"/>
        <v>1671.57082</v>
      </c>
      <c r="D310" s="190">
        <f t="shared" si="5"/>
        <v>395.2712294</v>
      </c>
      <c r="E310" s="190">
        <f t="shared" si="6"/>
        <v>1276.299591</v>
      </c>
      <c r="F310" s="190">
        <f t="shared" si="1"/>
        <v>84964.69591</v>
      </c>
      <c r="G310" s="191">
        <f t="shared" si="7"/>
        <v>314841.2626</v>
      </c>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row>
    <row r="311" ht="15.75" customHeight="1">
      <c r="A311" s="189">
        <f t="shared" si="2"/>
        <v>303</v>
      </c>
      <c r="B311" s="190">
        <f t="shared" si="3"/>
        <v>84964.69591</v>
      </c>
      <c r="C311" s="190">
        <f t="shared" si="4"/>
        <v>1671.57082</v>
      </c>
      <c r="D311" s="190">
        <f t="shared" si="5"/>
        <v>389.4215229</v>
      </c>
      <c r="E311" s="190">
        <f t="shared" si="6"/>
        <v>1282.149297</v>
      </c>
      <c r="F311" s="190">
        <f t="shared" si="1"/>
        <v>83682.54661</v>
      </c>
      <c r="G311" s="191">
        <f t="shared" si="7"/>
        <v>315617.7461</v>
      </c>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row>
    <row r="312" ht="15.75" customHeight="1">
      <c r="A312" s="189">
        <f t="shared" si="2"/>
        <v>304</v>
      </c>
      <c r="B312" s="190">
        <f t="shared" si="3"/>
        <v>83682.54661</v>
      </c>
      <c r="C312" s="190">
        <f t="shared" si="4"/>
        <v>1671.57082</v>
      </c>
      <c r="D312" s="190">
        <f t="shared" si="5"/>
        <v>383.5450053</v>
      </c>
      <c r="E312" s="190">
        <f t="shared" si="6"/>
        <v>1288.025815</v>
      </c>
      <c r="F312" s="190">
        <f t="shared" si="1"/>
        <v>82394.5208</v>
      </c>
      <c r="G312" s="191">
        <f t="shared" si="7"/>
        <v>316396.1446</v>
      </c>
      <c r="H312" s="189"/>
      <c r="I312" s="189"/>
      <c r="J312" s="189"/>
      <c r="K312" s="189"/>
      <c r="L312" s="189"/>
      <c r="M312" s="189"/>
      <c r="N312" s="189"/>
      <c r="O312" s="189"/>
      <c r="P312" s="189"/>
      <c r="Q312" s="189"/>
      <c r="R312" s="189"/>
      <c r="S312" s="189"/>
      <c r="T312" s="189"/>
      <c r="U312" s="189"/>
      <c r="V312" s="189"/>
      <c r="W312" s="189"/>
      <c r="X312" s="189"/>
      <c r="Y312" s="189"/>
      <c r="Z312" s="189"/>
      <c r="AA312" s="189"/>
      <c r="AB312" s="189"/>
      <c r="AC312" s="189"/>
      <c r="AD312" s="189"/>
      <c r="AE312" s="189"/>
      <c r="AF312" s="189"/>
      <c r="AG312" s="189"/>
      <c r="AH312" s="189"/>
      <c r="AI312" s="189"/>
      <c r="AJ312" s="189"/>
      <c r="AK312" s="189"/>
      <c r="AL312" s="189"/>
      <c r="AM312" s="189"/>
    </row>
    <row r="313" ht="15.75" customHeight="1">
      <c r="A313" s="189">
        <f t="shared" si="2"/>
        <v>305</v>
      </c>
      <c r="B313" s="190">
        <f t="shared" si="3"/>
        <v>82394.5208</v>
      </c>
      <c r="C313" s="190">
        <f t="shared" si="4"/>
        <v>1671.57082</v>
      </c>
      <c r="D313" s="190">
        <f t="shared" si="5"/>
        <v>377.6415537</v>
      </c>
      <c r="E313" s="190">
        <f t="shared" si="6"/>
        <v>1293.929266</v>
      </c>
      <c r="F313" s="190">
        <f t="shared" si="1"/>
        <v>81100.59153</v>
      </c>
      <c r="G313" s="191">
        <f t="shared" si="7"/>
        <v>317176.4629</v>
      </c>
      <c r="H313" s="189"/>
      <c r="I313" s="189"/>
      <c r="J313" s="189"/>
      <c r="K313" s="189"/>
      <c r="L313" s="189"/>
      <c r="M313" s="189"/>
      <c r="N313" s="189"/>
      <c r="O313" s="189"/>
      <c r="P313" s="189"/>
      <c r="Q313" s="189"/>
      <c r="R313" s="189"/>
      <c r="S313" s="189"/>
      <c r="T313" s="189"/>
      <c r="U313" s="189"/>
      <c r="V313" s="189"/>
      <c r="W313" s="189"/>
      <c r="X313" s="189"/>
      <c r="Y313" s="189"/>
      <c r="Z313" s="189"/>
      <c r="AA313" s="189"/>
      <c r="AB313" s="189"/>
      <c r="AC313" s="189"/>
      <c r="AD313" s="189"/>
      <c r="AE313" s="189"/>
      <c r="AF313" s="189"/>
      <c r="AG313" s="189"/>
      <c r="AH313" s="189"/>
      <c r="AI313" s="189"/>
      <c r="AJ313" s="189"/>
      <c r="AK313" s="189"/>
      <c r="AL313" s="189"/>
      <c r="AM313" s="189"/>
    </row>
    <row r="314" ht="15.75" customHeight="1">
      <c r="A314" s="189">
        <f t="shared" si="2"/>
        <v>306</v>
      </c>
      <c r="B314" s="190">
        <f t="shared" si="3"/>
        <v>81100.59153</v>
      </c>
      <c r="C314" s="190">
        <f t="shared" si="4"/>
        <v>1671.57082</v>
      </c>
      <c r="D314" s="190">
        <f t="shared" si="5"/>
        <v>371.7110445</v>
      </c>
      <c r="E314" s="190">
        <f t="shared" si="6"/>
        <v>1299.859775</v>
      </c>
      <c r="F314" s="190">
        <f t="shared" si="1"/>
        <v>79800.73176</v>
      </c>
      <c r="G314" s="191">
        <f t="shared" si="7"/>
        <v>317958.7056</v>
      </c>
      <c r="H314" s="189"/>
      <c r="I314" s="189"/>
      <c r="J314" s="189"/>
      <c r="K314" s="189"/>
      <c r="L314" s="189"/>
      <c r="M314" s="189"/>
      <c r="N314" s="189"/>
      <c r="O314" s="189"/>
      <c r="P314" s="189"/>
      <c r="Q314" s="189"/>
      <c r="R314" s="189"/>
      <c r="S314" s="189"/>
      <c r="T314" s="189"/>
      <c r="U314" s="189"/>
      <c r="V314" s="189"/>
      <c r="W314" s="189"/>
      <c r="X314" s="189"/>
      <c r="Y314" s="189"/>
      <c r="Z314" s="189"/>
      <c r="AA314" s="189"/>
      <c r="AB314" s="189"/>
      <c r="AC314" s="189"/>
      <c r="AD314" s="189"/>
      <c r="AE314" s="189"/>
      <c r="AF314" s="189"/>
      <c r="AG314" s="189"/>
      <c r="AH314" s="189"/>
      <c r="AI314" s="189"/>
      <c r="AJ314" s="189"/>
      <c r="AK314" s="189"/>
      <c r="AL314" s="189"/>
      <c r="AM314" s="189"/>
    </row>
    <row r="315" ht="15.75" customHeight="1">
      <c r="A315" s="189">
        <f t="shared" si="2"/>
        <v>307</v>
      </c>
      <c r="B315" s="190">
        <f t="shared" si="3"/>
        <v>79800.73176</v>
      </c>
      <c r="C315" s="190">
        <f t="shared" si="4"/>
        <v>1671.57082</v>
      </c>
      <c r="D315" s="190">
        <f t="shared" si="5"/>
        <v>365.7533539</v>
      </c>
      <c r="E315" s="190">
        <f t="shared" si="6"/>
        <v>1305.817466</v>
      </c>
      <c r="F315" s="190">
        <f t="shared" si="1"/>
        <v>78494.91429</v>
      </c>
      <c r="G315" s="191">
        <f t="shared" si="7"/>
        <v>318742.8775</v>
      </c>
      <c r="H315" s="189"/>
      <c r="I315" s="189"/>
      <c r="J315" s="189"/>
      <c r="K315" s="189"/>
      <c r="L315" s="189"/>
      <c r="M315" s="189"/>
      <c r="N315" s="189"/>
      <c r="O315" s="189"/>
      <c r="P315" s="189"/>
      <c r="Q315" s="189"/>
      <c r="R315" s="189"/>
      <c r="S315" s="189"/>
      <c r="T315" s="189"/>
      <c r="U315" s="189"/>
      <c r="V315" s="189"/>
      <c r="W315" s="189"/>
      <c r="X315" s="189"/>
      <c r="Y315" s="189"/>
      <c r="Z315" s="189"/>
      <c r="AA315" s="189"/>
      <c r="AB315" s="189"/>
      <c r="AC315" s="189"/>
      <c r="AD315" s="189"/>
      <c r="AE315" s="189"/>
      <c r="AF315" s="189"/>
      <c r="AG315" s="189"/>
      <c r="AH315" s="189"/>
      <c r="AI315" s="189"/>
      <c r="AJ315" s="189"/>
      <c r="AK315" s="189"/>
      <c r="AL315" s="189"/>
      <c r="AM315" s="189"/>
    </row>
    <row r="316" ht="15.75" customHeight="1">
      <c r="A316" s="189">
        <f t="shared" si="2"/>
        <v>308</v>
      </c>
      <c r="B316" s="190">
        <f t="shared" si="3"/>
        <v>78494.91429</v>
      </c>
      <c r="C316" s="190">
        <f t="shared" si="4"/>
        <v>1671.57082</v>
      </c>
      <c r="D316" s="190">
        <f t="shared" si="5"/>
        <v>359.7683572</v>
      </c>
      <c r="E316" s="190">
        <f t="shared" si="6"/>
        <v>1311.802463</v>
      </c>
      <c r="F316" s="190">
        <f t="shared" si="1"/>
        <v>77183.11183</v>
      </c>
      <c r="G316" s="191">
        <f t="shared" si="7"/>
        <v>319528.9835</v>
      </c>
      <c r="H316" s="189"/>
      <c r="I316" s="189"/>
      <c r="J316" s="189"/>
      <c r="K316" s="189"/>
      <c r="L316" s="189"/>
      <c r="M316" s="189"/>
      <c r="N316" s="189"/>
      <c r="O316" s="189"/>
      <c r="P316" s="189"/>
      <c r="Q316" s="189"/>
      <c r="R316" s="189"/>
      <c r="S316" s="189"/>
      <c r="T316" s="189"/>
      <c r="U316" s="189"/>
      <c r="V316" s="189"/>
      <c r="W316" s="189"/>
      <c r="X316" s="189"/>
      <c r="Y316" s="189"/>
      <c r="Z316" s="189"/>
      <c r="AA316" s="189"/>
      <c r="AB316" s="189"/>
      <c r="AC316" s="189"/>
      <c r="AD316" s="189"/>
      <c r="AE316" s="189"/>
      <c r="AF316" s="189"/>
      <c r="AG316" s="189"/>
      <c r="AH316" s="189"/>
      <c r="AI316" s="189"/>
      <c r="AJ316" s="189"/>
      <c r="AK316" s="189"/>
      <c r="AL316" s="189"/>
      <c r="AM316" s="189"/>
    </row>
    <row r="317" ht="15.75" customHeight="1">
      <c r="A317" s="189">
        <f t="shared" si="2"/>
        <v>309</v>
      </c>
      <c r="B317" s="190">
        <f t="shared" si="3"/>
        <v>77183.11183</v>
      </c>
      <c r="C317" s="190">
        <f t="shared" si="4"/>
        <v>1671.57082</v>
      </c>
      <c r="D317" s="190">
        <f t="shared" si="5"/>
        <v>353.7559292</v>
      </c>
      <c r="E317" s="190">
        <f t="shared" si="6"/>
        <v>1317.814891</v>
      </c>
      <c r="F317" s="190">
        <f t="shared" si="1"/>
        <v>75865.29694</v>
      </c>
      <c r="G317" s="191">
        <f t="shared" si="7"/>
        <v>320317.0281</v>
      </c>
      <c r="H317" s="189"/>
      <c r="I317" s="189"/>
      <c r="J317" s="189"/>
      <c r="K317" s="189"/>
      <c r="L317" s="189"/>
      <c r="M317" s="189"/>
      <c r="N317" s="189"/>
      <c r="O317" s="189"/>
      <c r="P317" s="189"/>
      <c r="Q317" s="189"/>
      <c r="R317" s="189"/>
      <c r="S317" s="189"/>
      <c r="T317" s="189"/>
      <c r="U317" s="189"/>
      <c r="V317" s="189"/>
      <c r="W317" s="189"/>
      <c r="X317" s="189"/>
      <c r="Y317" s="189"/>
      <c r="Z317" s="189"/>
      <c r="AA317" s="189"/>
      <c r="AB317" s="189"/>
      <c r="AC317" s="189"/>
      <c r="AD317" s="189"/>
      <c r="AE317" s="189"/>
      <c r="AF317" s="189"/>
      <c r="AG317" s="189"/>
      <c r="AH317" s="189"/>
      <c r="AI317" s="189"/>
      <c r="AJ317" s="189"/>
      <c r="AK317" s="189"/>
      <c r="AL317" s="189"/>
      <c r="AM317" s="189"/>
    </row>
    <row r="318" ht="15.75" customHeight="1">
      <c r="A318" s="189">
        <f t="shared" si="2"/>
        <v>310</v>
      </c>
      <c r="B318" s="190">
        <f t="shared" si="3"/>
        <v>75865.29694</v>
      </c>
      <c r="C318" s="190">
        <f t="shared" si="4"/>
        <v>1671.57082</v>
      </c>
      <c r="D318" s="190">
        <f t="shared" si="5"/>
        <v>347.7159443</v>
      </c>
      <c r="E318" s="190">
        <f t="shared" si="6"/>
        <v>1323.854876</v>
      </c>
      <c r="F318" s="190">
        <f t="shared" si="1"/>
        <v>74541.44206</v>
      </c>
      <c r="G318" s="191">
        <f t="shared" si="7"/>
        <v>321107.0163</v>
      </c>
      <c r="H318" s="189"/>
      <c r="I318" s="189"/>
      <c r="J318" s="189"/>
      <c r="K318" s="189"/>
      <c r="L318" s="189"/>
      <c r="M318" s="189"/>
      <c r="N318" s="189"/>
      <c r="O318" s="189"/>
      <c r="P318" s="189"/>
      <c r="Q318" s="189"/>
      <c r="R318" s="189"/>
      <c r="S318" s="189"/>
      <c r="T318" s="189"/>
      <c r="U318" s="189"/>
      <c r="V318" s="189"/>
      <c r="W318" s="189"/>
      <c r="X318" s="189"/>
      <c r="Y318" s="189"/>
      <c r="Z318" s="189"/>
      <c r="AA318" s="189"/>
      <c r="AB318" s="189"/>
      <c r="AC318" s="189"/>
      <c r="AD318" s="189"/>
      <c r="AE318" s="189"/>
      <c r="AF318" s="189"/>
      <c r="AG318" s="189"/>
      <c r="AH318" s="189"/>
      <c r="AI318" s="189"/>
      <c r="AJ318" s="189"/>
      <c r="AK318" s="189"/>
      <c r="AL318" s="189"/>
      <c r="AM318" s="189"/>
    </row>
    <row r="319" ht="15.75" customHeight="1">
      <c r="A319" s="189">
        <f t="shared" si="2"/>
        <v>311</v>
      </c>
      <c r="B319" s="190">
        <f t="shared" si="3"/>
        <v>74541.44206</v>
      </c>
      <c r="C319" s="190">
        <f t="shared" si="4"/>
        <v>1671.57082</v>
      </c>
      <c r="D319" s="190">
        <f t="shared" si="5"/>
        <v>341.6482761</v>
      </c>
      <c r="E319" s="190">
        <f t="shared" si="6"/>
        <v>1329.922544</v>
      </c>
      <c r="F319" s="190">
        <f t="shared" si="1"/>
        <v>73211.51952</v>
      </c>
      <c r="G319" s="191">
        <f t="shared" si="7"/>
        <v>321898.9529</v>
      </c>
      <c r="H319" s="189"/>
      <c r="I319" s="189"/>
      <c r="J319" s="189"/>
      <c r="K319" s="189"/>
      <c r="L319" s="189"/>
      <c r="M319" s="189"/>
      <c r="N319" s="189"/>
      <c r="O319" s="189"/>
      <c r="P319" s="189"/>
      <c r="Q319" s="189"/>
      <c r="R319" s="189"/>
      <c r="S319" s="189"/>
      <c r="T319" s="189"/>
      <c r="U319" s="189"/>
      <c r="V319" s="189"/>
      <c r="W319" s="189"/>
      <c r="X319" s="189"/>
      <c r="Y319" s="189"/>
      <c r="Z319" s="189"/>
      <c r="AA319" s="189"/>
      <c r="AB319" s="189"/>
      <c r="AC319" s="189"/>
      <c r="AD319" s="189"/>
      <c r="AE319" s="189"/>
      <c r="AF319" s="189"/>
      <c r="AG319" s="189"/>
      <c r="AH319" s="189"/>
      <c r="AI319" s="189"/>
      <c r="AJ319" s="189"/>
      <c r="AK319" s="189"/>
      <c r="AL319" s="189"/>
      <c r="AM319" s="189"/>
    </row>
    <row r="320" ht="15.75" customHeight="1">
      <c r="A320" s="189">
        <f t="shared" si="2"/>
        <v>312</v>
      </c>
      <c r="B320" s="190">
        <f t="shared" si="3"/>
        <v>73211.51952</v>
      </c>
      <c r="C320" s="190">
        <f t="shared" si="4"/>
        <v>1671.57082</v>
      </c>
      <c r="D320" s="190">
        <f t="shared" si="5"/>
        <v>335.5527978</v>
      </c>
      <c r="E320" s="190">
        <f t="shared" si="6"/>
        <v>1336.018022</v>
      </c>
      <c r="F320" s="190">
        <f t="shared" si="1"/>
        <v>71875.5015</v>
      </c>
      <c r="G320" s="191">
        <f t="shared" si="7"/>
        <v>322692.8425</v>
      </c>
      <c r="H320" s="189"/>
      <c r="I320" s="189"/>
      <c r="J320" s="189"/>
      <c r="K320" s="189"/>
      <c r="L320" s="189"/>
      <c r="M320" s="189"/>
      <c r="N320" s="189"/>
      <c r="O320" s="189"/>
      <c r="P320" s="189"/>
      <c r="Q320" s="189"/>
      <c r="R320" s="189"/>
      <c r="S320" s="189"/>
      <c r="T320" s="189"/>
      <c r="U320" s="189"/>
      <c r="V320" s="189"/>
      <c r="W320" s="189"/>
      <c r="X320" s="189"/>
      <c r="Y320" s="189"/>
      <c r="Z320" s="189"/>
      <c r="AA320" s="189"/>
      <c r="AB320" s="189"/>
      <c r="AC320" s="189"/>
      <c r="AD320" s="189"/>
      <c r="AE320" s="189"/>
      <c r="AF320" s="189"/>
      <c r="AG320" s="189"/>
      <c r="AH320" s="189"/>
      <c r="AI320" s="189"/>
      <c r="AJ320" s="189"/>
      <c r="AK320" s="189"/>
      <c r="AL320" s="189"/>
      <c r="AM320" s="189"/>
    </row>
    <row r="321" ht="15.75" customHeight="1">
      <c r="A321" s="189">
        <f t="shared" si="2"/>
        <v>313</v>
      </c>
      <c r="B321" s="190">
        <f t="shared" si="3"/>
        <v>71875.5015</v>
      </c>
      <c r="C321" s="190">
        <f t="shared" si="4"/>
        <v>1671.57082</v>
      </c>
      <c r="D321" s="190">
        <f t="shared" si="5"/>
        <v>329.4293819</v>
      </c>
      <c r="E321" s="190">
        <f t="shared" si="6"/>
        <v>1342.141438</v>
      </c>
      <c r="F321" s="190">
        <f t="shared" si="1"/>
        <v>70533.36006</v>
      </c>
      <c r="G321" s="191">
        <f t="shared" si="7"/>
        <v>323488.6901</v>
      </c>
      <c r="H321" s="189"/>
      <c r="I321" s="189"/>
      <c r="J321" s="189"/>
      <c r="K321" s="189"/>
      <c r="L321" s="189"/>
      <c r="M321" s="189"/>
      <c r="N321" s="189"/>
      <c r="O321" s="189"/>
      <c r="P321" s="189"/>
      <c r="Q321" s="189"/>
      <c r="R321" s="189"/>
      <c r="S321" s="189"/>
      <c r="T321" s="189"/>
      <c r="U321" s="189"/>
      <c r="V321" s="189"/>
      <c r="W321" s="189"/>
      <c r="X321" s="189"/>
      <c r="Y321" s="189"/>
      <c r="Z321" s="189"/>
      <c r="AA321" s="189"/>
      <c r="AB321" s="189"/>
      <c r="AC321" s="189"/>
      <c r="AD321" s="189"/>
      <c r="AE321" s="189"/>
      <c r="AF321" s="189"/>
      <c r="AG321" s="189"/>
      <c r="AH321" s="189"/>
      <c r="AI321" s="189"/>
      <c r="AJ321" s="189"/>
      <c r="AK321" s="189"/>
      <c r="AL321" s="189"/>
      <c r="AM321" s="189"/>
    </row>
    <row r="322" ht="15.75" customHeight="1">
      <c r="A322" s="189">
        <f t="shared" si="2"/>
        <v>314</v>
      </c>
      <c r="B322" s="190">
        <f t="shared" si="3"/>
        <v>70533.36006</v>
      </c>
      <c r="C322" s="190">
        <f t="shared" si="4"/>
        <v>1671.57082</v>
      </c>
      <c r="D322" s="190">
        <f t="shared" si="5"/>
        <v>323.2779003</v>
      </c>
      <c r="E322" s="190">
        <f t="shared" si="6"/>
        <v>1348.29292</v>
      </c>
      <c r="F322" s="190">
        <f t="shared" si="1"/>
        <v>69185.06714</v>
      </c>
      <c r="G322" s="191">
        <f t="shared" si="7"/>
        <v>324286.5005</v>
      </c>
      <c r="H322" s="189"/>
      <c r="I322" s="189"/>
      <c r="J322" s="189"/>
      <c r="K322" s="189"/>
      <c r="L322" s="189"/>
      <c r="M322" s="189"/>
      <c r="N322" s="189"/>
      <c r="O322" s="189"/>
      <c r="P322" s="189"/>
      <c r="Q322" s="189"/>
      <c r="R322" s="189"/>
      <c r="S322" s="189"/>
      <c r="T322" s="189"/>
      <c r="U322" s="189"/>
      <c r="V322" s="189"/>
      <c r="W322" s="189"/>
      <c r="X322" s="189"/>
      <c r="Y322" s="189"/>
      <c r="Z322" s="189"/>
      <c r="AA322" s="189"/>
      <c r="AB322" s="189"/>
      <c r="AC322" s="189"/>
      <c r="AD322" s="189"/>
      <c r="AE322" s="189"/>
      <c r="AF322" s="189"/>
      <c r="AG322" s="189"/>
      <c r="AH322" s="189"/>
      <c r="AI322" s="189"/>
      <c r="AJ322" s="189"/>
      <c r="AK322" s="189"/>
      <c r="AL322" s="189"/>
      <c r="AM322" s="189"/>
    </row>
    <row r="323" ht="15.75" customHeight="1">
      <c r="A323" s="189">
        <f t="shared" si="2"/>
        <v>315</v>
      </c>
      <c r="B323" s="190">
        <f t="shared" si="3"/>
        <v>69185.06714</v>
      </c>
      <c r="C323" s="190">
        <f t="shared" si="4"/>
        <v>1671.57082</v>
      </c>
      <c r="D323" s="190">
        <f t="shared" si="5"/>
        <v>317.0982244</v>
      </c>
      <c r="E323" s="190">
        <f t="shared" si="6"/>
        <v>1354.472596</v>
      </c>
      <c r="F323" s="190">
        <f t="shared" si="1"/>
        <v>67830.59454</v>
      </c>
      <c r="G323" s="191">
        <f t="shared" si="7"/>
        <v>325086.2785</v>
      </c>
      <c r="H323" s="189"/>
      <c r="I323" s="189"/>
      <c r="J323" s="189"/>
      <c r="K323" s="189"/>
      <c r="L323" s="189"/>
      <c r="M323" s="189"/>
      <c r="N323" s="189"/>
      <c r="O323" s="189"/>
      <c r="P323" s="189"/>
      <c r="Q323" s="189"/>
      <c r="R323" s="189"/>
      <c r="S323" s="189"/>
      <c r="T323" s="189"/>
      <c r="U323" s="189"/>
      <c r="V323" s="189"/>
      <c r="W323" s="189"/>
      <c r="X323" s="189"/>
      <c r="Y323" s="189"/>
      <c r="Z323" s="189"/>
      <c r="AA323" s="189"/>
      <c r="AB323" s="189"/>
      <c r="AC323" s="189"/>
      <c r="AD323" s="189"/>
      <c r="AE323" s="189"/>
      <c r="AF323" s="189"/>
      <c r="AG323" s="189"/>
      <c r="AH323" s="189"/>
      <c r="AI323" s="189"/>
      <c r="AJ323" s="189"/>
      <c r="AK323" s="189"/>
      <c r="AL323" s="189"/>
      <c r="AM323" s="189"/>
    </row>
    <row r="324" ht="15.75" customHeight="1">
      <c r="A324" s="189">
        <f t="shared" si="2"/>
        <v>316</v>
      </c>
      <c r="B324" s="190">
        <f t="shared" si="3"/>
        <v>67830.59454</v>
      </c>
      <c r="C324" s="190">
        <f t="shared" si="4"/>
        <v>1671.57082</v>
      </c>
      <c r="D324" s="190">
        <f t="shared" si="5"/>
        <v>310.890225</v>
      </c>
      <c r="E324" s="190">
        <f t="shared" si="6"/>
        <v>1360.680595</v>
      </c>
      <c r="F324" s="190">
        <f t="shared" si="1"/>
        <v>66469.91395</v>
      </c>
      <c r="G324" s="191">
        <f t="shared" si="7"/>
        <v>325888.029</v>
      </c>
      <c r="H324" s="189"/>
      <c r="I324" s="189"/>
      <c r="J324" s="189"/>
      <c r="K324" s="189"/>
      <c r="L324" s="189"/>
      <c r="M324" s="189"/>
      <c r="N324" s="189"/>
      <c r="O324" s="189"/>
      <c r="P324" s="189"/>
      <c r="Q324" s="189"/>
      <c r="R324" s="189"/>
      <c r="S324" s="189"/>
      <c r="T324" s="189"/>
      <c r="U324" s="189"/>
      <c r="V324" s="189"/>
      <c r="W324" s="189"/>
      <c r="X324" s="189"/>
      <c r="Y324" s="189"/>
      <c r="Z324" s="189"/>
      <c r="AA324" s="189"/>
      <c r="AB324" s="189"/>
      <c r="AC324" s="189"/>
      <c r="AD324" s="189"/>
      <c r="AE324" s="189"/>
      <c r="AF324" s="189"/>
      <c r="AG324" s="189"/>
      <c r="AH324" s="189"/>
      <c r="AI324" s="189"/>
      <c r="AJ324" s="189"/>
      <c r="AK324" s="189"/>
      <c r="AL324" s="189"/>
      <c r="AM324" s="189"/>
    </row>
    <row r="325" ht="15.75" customHeight="1">
      <c r="A325" s="189">
        <f t="shared" si="2"/>
        <v>317</v>
      </c>
      <c r="B325" s="190">
        <f t="shared" si="3"/>
        <v>66469.91395</v>
      </c>
      <c r="C325" s="190">
        <f t="shared" si="4"/>
        <v>1671.57082</v>
      </c>
      <c r="D325" s="190">
        <f t="shared" si="5"/>
        <v>304.6537723</v>
      </c>
      <c r="E325" s="190">
        <f t="shared" si="6"/>
        <v>1366.917048</v>
      </c>
      <c r="F325" s="190">
        <f t="shared" si="1"/>
        <v>65102.9969</v>
      </c>
      <c r="G325" s="191">
        <f t="shared" si="7"/>
        <v>326691.7568</v>
      </c>
      <c r="H325" s="189"/>
      <c r="I325" s="189"/>
      <c r="J325" s="189"/>
      <c r="K325" s="189"/>
      <c r="L325" s="189"/>
      <c r="M325" s="189"/>
      <c r="N325" s="189"/>
      <c r="O325" s="189"/>
      <c r="P325" s="189"/>
      <c r="Q325" s="189"/>
      <c r="R325" s="189"/>
      <c r="S325" s="189"/>
      <c r="T325" s="189"/>
      <c r="U325" s="189"/>
      <c r="V325" s="189"/>
      <c r="W325" s="189"/>
      <c r="X325" s="189"/>
      <c r="Y325" s="189"/>
      <c r="Z325" s="189"/>
      <c r="AA325" s="189"/>
      <c r="AB325" s="189"/>
      <c r="AC325" s="189"/>
      <c r="AD325" s="189"/>
      <c r="AE325" s="189"/>
      <c r="AF325" s="189"/>
      <c r="AG325" s="189"/>
      <c r="AH325" s="189"/>
      <c r="AI325" s="189"/>
      <c r="AJ325" s="189"/>
      <c r="AK325" s="189"/>
      <c r="AL325" s="189"/>
      <c r="AM325" s="189"/>
    </row>
    <row r="326" ht="15.75" customHeight="1">
      <c r="A326" s="189">
        <f t="shared" si="2"/>
        <v>318</v>
      </c>
      <c r="B326" s="190">
        <f t="shared" si="3"/>
        <v>65102.9969</v>
      </c>
      <c r="C326" s="190">
        <f t="shared" si="4"/>
        <v>1671.57082</v>
      </c>
      <c r="D326" s="190">
        <f t="shared" si="5"/>
        <v>298.3887358</v>
      </c>
      <c r="E326" s="190">
        <f t="shared" si="6"/>
        <v>1373.182084</v>
      </c>
      <c r="F326" s="190">
        <f t="shared" si="1"/>
        <v>63729.81481</v>
      </c>
      <c r="G326" s="191">
        <f t="shared" si="7"/>
        <v>327497.4668</v>
      </c>
      <c r="H326" s="189"/>
      <c r="I326" s="189"/>
      <c r="J326" s="189"/>
      <c r="K326" s="189"/>
      <c r="L326" s="189"/>
      <c r="M326" s="189"/>
      <c r="N326" s="189"/>
      <c r="O326" s="189"/>
      <c r="P326" s="189"/>
      <c r="Q326" s="189"/>
      <c r="R326" s="189"/>
      <c r="S326" s="189"/>
      <c r="T326" s="189"/>
      <c r="U326" s="189"/>
      <c r="V326" s="189"/>
      <c r="W326" s="189"/>
      <c r="X326" s="189"/>
      <c r="Y326" s="189"/>
      <c r="Z326" s="189"/>
      <c r="AA326" s="189"/>
      <c r="AB326" s="189"/>
      <c r="AC326" s="189"/>
      <c r="AD326" s="189"/>
      <c r="AE326" s="189"/>
      <c r="AF326" s="189"/>
      <c r="AG326" s="189"/>
      <c r="AH326" s="189"/>
      <c r="AI326" s="189"/>
      <c r="AJ326" s="189"/>
      <c r="AK326" s="189"/>
      <c r="AL326" s="189"/>
      <c r="AM326" s="189"/>
    </row>
    <row r="327" ht="15.75" customHeight="1">
      <c r="A327" s="189">
        <f t="shared" si="2"/>
        <v>319</v>
      </c>
      <c r="B327" s="190">
        <f t="shared" si="3"/>
        <v>63729.81481</v>
      </c>
      <c r="C327" s="190">
        <f t="shared" si="4"/>
        <v>1671.57082</v>
      </c>
      <c r="D327" s="190">
        <f t="shared" si="5"/>
        <v>292.0949846</v>
      </c>
      <c r="E327" s="190">
        <f t="shared" si="6"/>
        <v>1379.475835</v>
      </c>
      <c r="F327" s="190">
        <f t="shared" si="1"/>
        <v>62350.33898</v>
      </c>
      <c r="G327" s="191">
        <f t="shared" si="7"/>
        <v>328305.1639</v>
      </c>
      <c r="H327" s="189"/>
      <c r="I327" s="189"/>
      <c r="J327" s="189"/>
      <c r="K327" s="189"/>
      <c r="L327" s="189"/>
      <c r="M327" s="189"/>
      <c r="N327" s="189"/>
      <c r="O327" s="189"/>
      <c r="P327" s="189"/>
      <c r="Q327" s="189"/>
      <c r="R327" s="189"/>
      <c r="S327" s="189"/>
      <c r="T327" s="189"/>
      <c r="U327" s="189"/>
      <c r="V327" s="189"/>
      <c r="W327" s="189"/>
      <c r="X327" s="189"/>
      <c r="Y327" s="189"/>
      <c r="Z327" s="189"/>
      <c r="AA327" s="189"/>
      <c r="AB327" s="189"/>
      <c r="AC327" s="189"/>
      <c r="AD327" s="189"/>
      <c r="AE327" s="189"/>
      <c r="AF327" s="189"/>
      <c r="AG327" s="189"/>
      <c r="AH327" s="189"/>
      <c r="AI327" s="189"/>
      <c r="AJ327" s="189"/>
      <c r="AK327" s="189"/>
      <c r="AL327" s="189"/>
      <c r="AM327" s="189"/>
    </row>
    <row r="328" ht="15.75" customHeight="1">
      <c r="A328" s="189">
        <f t="shared" si="2"/>
        <v>320</v>
      </c>
      <c r="B328" s="190">
        <f t="shared" si="3"/>
        <v>62350.33898</v>
      </c>
      <c r="C328" s="190">
        <f t="shared" si="4"/>
        <v>1671.57082</v>
      </c>
      <c r="D328" s="190">
        <f t="shared" si="5"/>
        <v>285.772387</v>
      </c>
      <c r="E328" s="190">
        <f t="shared" si="6"/>
        <v>1385.798433</v>
      </c>
      <c r="F328" s="190">
        <f t="shared" si="1"/>
        <v>60964.54055</v>
      </c>
      <c r="G328" s="191">
        <f t="shared" si="7"/>
        <v>329114.853</v>
      </c>
      <c r="H328" s="189"/>
      <c r="I328" s="189"/>
      <c r="J328" s="189"/>
      <c r="K328" s="189"/>
      <c r="L328" s="189"/>
      <c r="M328" s="189"/>
      <c r="N328" s="189"/>
      <c r="O328" s="189"/>
      <c r="P328" s="189"/>
      <c r="Q328" s="189"/>
      <c r="R328" s="189"/>
      <c r="S328" s="189"/>
      <c r="T328" s="189"/>
      <c r="U328" s="189"/>
      <c r="V328" s="189"/>
      <c r="W328" s="189"/>
      <c r="X328" s="189"/>
      <c r="Y328" s="189"/>
      <c r="Z328" s="189"/>
      <c r="AA328" s="189"/>
      <c r="AB328" s="189"/>
      <c r="AC328" s="189"/>
      <c r="AD328" s="189"/>
      <c r="AE328" s="189"/>
      <c r="AF328" s="189"/>
      <c r="AG328" s="189"/>
      <c r="AH328" s="189"/>
      <c r="AI328" s="189"/>
      <c r="AJ328" s="189"/>
      <c r="AK328" s="189"/>
      <c r="AL328" s="189"/>
      <c r="AM328" s="189"/>
    </row>
    <row r="329" ht="15.75" customHeight="1">
      <c r="A329" s="189">
        <f t="shared" si="2"/>
        <v>321</v>
      </c>
      <c r="B329" s="190">
        <f t="shared" si="3"/>
        <v>60964.54055</v>
      </c>
      <c r="C329" s="190">
        <f t="shared" si="4"/>
        <v>1671.57082</v>
      </c>
      <c r="D329" s="190">
        <f t="shared" si="5"/>
        <v>279.4208108</v>
      </c>
      <c r="E329" s="190">
        <f t="shared" si="6"/>
        <v>1392.150009</v>
      </c>
      <c r="F329" s="190">
        <f t="shared" si="1"/>
        <v>59572.39054</v>
      </c>
      <c r="G329" s="191">
        <f t="shared" si="7"/>
        <v>329926.539</v>
      </c>
      <c r="H329" s="189"/>
      <c r="I329" s="189"/>
      <c r="J329" s="189"/>
      <c r="K329" s="189"/>
      <c r="L329" s="189"/>
      <c r="M329" s="189"/>
      <c r="N329" s="189"/>
      <c r="O329" s="189"/>
      <c r="P329" s="189"/>
      <c r="Q329" s="189"/>
      <c r="R329" s="189"/>
      <c r="S329" s="189"/>
      <c r="T329" s="189"/>
      <c r="U329" s="189"/>
      <c r="V329" s="189"/>
      <c r="W329" s="189"/>
      <c r="X329" s="189"/>
      <c r="Y329" s="189"/>
      <c r="Z329" s="189"/>
      <c r="AA329" s="189"/>
      <c r="AB329" s="189"/>
      <c r="AC329" s="189"/>
      <c r="AD329" s="189"/>
      <c r="AE329" s="189"/>
      <c r="AF329" s="189"/>
      <c r="AG329" s="189"/>
      <c r="AH329" s="189"/>
      <c r="AI329" s="189"/>
      <c r="AJ329" s="189"/>
      <c r="AK329" s="189"/>
      <c r="AL329" s="189"/>
      <c r="AM329" s="189"/>
    </row>
    <row r="330" ht="15.75" customHeight="1">
      <c r="A330" s="189">
        <f t="shared" si="2"/>
        <v>322</v>
      </c>
      <c r="B330" s="190">
        <f t="shared" si="3"/>
        <v>59572.39054</v>
      </c>
      <c r="C330" s="190">
        <f t="shared" si="4"/>
        <v>1671.57082</v>
      </c>
      <c r="D330" s="190">
        <f t="shared" si="5"/>
        <v>273.0401233</v>
      </c>
      <c r="E330" s="190">
        <f t="shared" si="6"/>
        <v>1398.530697</v>
      </c>
      <c r="F330" s="190">
        <f t="shared" si="1"/>
        <v>58173.85984</v>
      </c>
      <c r="G330" s="191">
        <f t="shared" si="7"/>
        <v>330740.2268</v>
      </c>
      <c r="H330" s="189"/>
      <c r="I330" s="189"/>
      <c r="J330" s="189"/>
      <c r="K330" s="189"/>
      <c r="L330" s="189"/>
      <c r="M330" s="189"/>
      <c r="N330" s="189"/>
      <c r="O330" s="189"/>
      <c r="P330" s="189"/>
      <c r="Q330" s="189"/>
      <c r="R330" s="189"/>
      <c r="S330" s="189"/>
      <c r="T330" s="189"/>
      <c r="U330" s="189"/>
      <c r="V330" s="189"/>
      <c r="W330" s="189"/>
      <c r="X330" s="189"/>
      <c r="Y330" s="189"/>
      <c r="Z330" s="189"/>
      <c r="AA330" s="189"/>
      <c r="AB330" s="189"/>
      <c r="AC330" s="189"/>
      <c r="AD330" s="189"/>
      <c r="AE330" s="189"/>
      <c r="AF330" s="189"/>
      <c r="AG330" s="189"/>
      <c r="AH330" s="189"/>
      <c r="AI330" s="189"/>
      <c r="AJ330" s="189"/>
      <c r="AK330" s="189"/>
      <c r="AL330" s="189"/>
      <c r="AM330" s="189"/>
    </row>
    <row r="331" ht="15.75" customHeight="1">
      <c r="A331" s="189">
        <f t="shared" si="2"/>
        <v>323</v>
      </c>
      <c r="B331" s="190">
        <f t="shared" si="3"/>
        <v>58173.85984</v>
      </c>
      <c r="C331" s="190">
        <f t="shared" si="4"/>
        <v>1671.57082</v>
      </c>
      <c r="D331" s="190">
        <f t="shared" si="5"/>
        <v>266.6301909</v>
      </c>
      <c r="E331" s="190">
        <f t="shared" si="6"/>
        <v>1404.940629</v>
      </c>
      <c r="F331" s="190">
        <f t="shared" si="1"/>
        <v>56768.91921</v>
      </c>
      <c r="G331" s="191">
        <f t="shared" si="7"/>
        <v>331555.9215</v>
      </c>
      <c r="H331" s="189"/>
      <c r="I331" s="189"/>
      <c r="J331" s="189"/>
      <c r="K331" s="189"/>
      <c r="L331" s="189"/>
      <c r="M331" s="189"/>
      <c r="N331" s="189"/>
      <c r="O331" s="189"/>
      <c r="P331" s="189"/>
      <c r="Q331" s="189"/>
      <c r="R331" s="189"/>
      <c r="S331" s="189"/>
      <c r="T331" s="189"/>
      <c r="U331" s="189"/>
      <c r="V331" s="189"/>
      <c r="W331" s="189"/>
      <c r="X331" s="189"/>
      <c r="Y331" s="189"/>
      <c r="Z331" s="189"/>
      <c r="AA331" s="189"/>
      <c r="AB331" s="189"/>
      <c r="AC331" s="189"/>
      <c r="AD331" s="189"/>
      <c r="AE331" s="189"/>
      <c r="AF331" s="189"/>
      <c r="AG331" s="189"/>
      <c r="AH331" s="189"/>
      <c r="AI331" s="189"/>
      <c r="AJ331" s="189"/>
      <c r="AK331" s="189"/>
      <c r="AL331" s="189"/>
      <c r="AM331" s="189"/>
    </row>
    <row r="332" ht="15.75" customHeight="1">
      <c r="A332" s="189">
        <f t="shared" si="2"/>
        <v>324</v>
      </c>
      <c r="B332" s="190">
        <f t="shared" si="3"/>
        <v>56768.91921</v>
      </c>
      <c r="C332" s="190">
        <f t="shared" si="4"/>
        <v>1671.57082</v>
      </c>
      <c r="D332" s="190">
        <f t="shared" si="5"/>
        <v>260.1908797</v>
      </c>
      <c r="E332" s="190">
        <f t="shared" si="6"/>
        <v>1411.37994</v>
      </c>
      <c r="F332" s="190">
        <f t="shared" si="1"/>
        <v>55357.53927</v>
      </c>
      <c r="G332" s="191">
        <f t="shared" si="7"/>
        <v>332373.6278</v>
      </c>
      <c r="H332" s="189"/>
      <c r="I332" s="189"/>
      <c r="J332" s="189"/>
      <c r="K332" s="189"/>
      <c r="L332" s="189"/>
      <c r="M332" s="189"/>
      <c r="N332" s="189"/>
      <c r="O332" s="189"/>
      <c r="P332" s="189"/>
      <c r="Q332" s="189"/>
      <c r="R332" s="189"/>
      <c r="S332" s="189"/>
      <c r="T332" s="189"/>
      <c r="U332" s="189"/>
      <c r="V332" s="189"/>
      <c r="W332" s="189"/>
      <c r="X332" s="189"/>
      <c r="Y332" s="189"/>
      <c r="Z332" s="189"/>
      <c r="AA332" s="189"/>
      <c r="AB332" s="189"/>
      <c r="AC332" s="189"/>
      <c r="AD332" s="189"/>
      <c r="AE332" s="189"/>
      <c r="AF332" s="189"/>
      <c r="AG332" s="189"/>
      <c r="AH332" s="189"/>
      <c r="AI332" s="189"/>
      <c r="AJ332" s="189"/>
      <c r="AK332" s="189"/>
      <c r="AL332" s="189"/>
      <c r="AM332" s="189"/>
    </row>
    <row r="333" ht="15.75" customHeight="1">
      <c r="A333" s="189">
        <f t="shared" si="2"/>
        <v>325</v>
      </c>
      <c r="B333" s="190">
        <f t="shared" si="3"/>
        <v>55357.53927</v>
      </c>
      <c r="C333" s="190">
        <f t="shared" si="4"/>
        <v>1671.57082</v>
      </c>
      <c r="D333" s="190">
        <f t="shared" si="5"/>
        <v>253.722055</v>
      </c>
      <c r="E333" s="190">
        <f t="shared" si="6"/>
        <v>1417.848765</v>
      </c>
      <c r="F333" s="190">
        <f t="shared" si="1"/>
        <v>53939.69051</v>
      </c>
      <c r="G333" s="191">
        <f t="shared" si="7"/>
        <v>333193.3508</v>
      </c>
      <c r="H333" s="189"/>
      <c r="I333" s="189"/>
      <c r="J333" s="189"/>
      <c r="K333" s="189"/>
      <c r="L333" s="189"/>
      <c r="M333" s="189"/>
      <c r="N333" s="189"/>
      <c r="O333" s="189"/>
      <c r="P333" s="189"/>
      <c r="Q333" s="189"/>
      <c r="R333" s="189"/>
      <c r="S333" s="189"/>
      <c r="T333" s="189"/>
      <c r="U333" s="189"/>
      <c r="V333" s="189"/>
      <c r="W333" s="189"/>
      <c r="X333" s="189"/>
      <c r="Y333" s="189"/>
      <c r="Z333" s="189"/>
      <c r="AA333" s="189"/>
      <c r="AB333" s="189"/>
      <c r="AC333" s="189"/>
      <c r="AD333" s="189"/>
      <c r="AE333" s="189"/>
      <c r="AF333" s="189"/>
      <c r="AG333" s="189"/>
      <c r="AH333" s="189"/>
      <c r="AI333" s="189"/>
      <c r="AJ333" s="189"/>
      <c r="AK333" s="189"/>
      <c r="AL333" s="189"/>
      <c r="AM333" s="189"/>
    </row>
    <row r="334" ht="15.75" customHeight="1">
      <c r="A334" s="189">
        <f t="shared" si="2"/>
        <v>326</v>
      </c>
      <c r="B334" s="190">
        <f t="shared" si="3"/>
        <v>53939.69051</v>
      </c>
      <c r="C334" s="190">
        <f t="shared" si="4"/>
        <v>1671.57082</v>
      </c>
      <c r="D334" s="190">
        <f t="shared" si="5"/>
        <v>247.2235815</v>
      </c>
      <c r="E334" s="190">
        <f t="shared" si="6"/>
        <v>1424.347238</v>
      </c>
      <c r="F334" s="190">
        <f t="shared" si="1"/>
        <v>52515.34327</v>
      </c>
      <c r="G334" s="191">
        <f t="shared" si="7"/>
        <v>334015.0955</v>
      </c>
      <c r="H334" s="189"/>
      <c r="I334" s="189"/>
      <c r="J334" s="189"/>
      <c r="K334" s="189"/>
      <c r="L334" s="189"/>
      <c r="M334" s="189"/>
      <c r="N334" s="189"/>
      <c r="O334" s="189"/>
      <c r="P334" s="189"/>
      <c r="Q334" s="189"/>
      <c r="R334" s="189"/>
      <c r="S334" s="189"/>
      <c r="T334" s="189"/>
      <c r="U334" s="189"/>
      <c r="V334" s="189"/>
      <c r="W334" s="189"/>
      <c r="X334" s="189"/>
      <c r="Y334" s="189"/>
      <c r="Z334" s="189"/>
      <c r="AA334" s="189"/>
      <c r="AB334" s="189"/>
      <c r="AC334" s="189"/>
      <c r="AD334" s="189"/>
      <c r="AE334" s="189"/>
      <c r="AF334" s="189"/>
      <c r="AG334" s="189"/>
      <c r="AH334" s="189"/>
      <c r="AI334" s="189"/>
      <c r="AJ334" s="189"/>
      <c r="AK334" s="189"/>
      <c r="AL334" s="189"/>
      <c r="AM334" s="189"/>
    </row>
    <row r="335" ht="15.75" customHeight="1">
      <c r="A335" s="189">
        <f t="shared" si="2"/>
        <v>327</v>
      </c>
      <c r="B335" s="190">
        <f t="shared" si="3"/>
        <v>52515.34327</v>
      </c>
      <c r="C335" s="190">
        <f t="shared" si="4"/>
        <v>1671.57082</v>
      </c>
      <c r="D335" s="190">
        <f t="shared" si="5"/>
        <v>240.6953233</v>
      </c>
      <c r="E335" s="190">
        <f t="shared" si="6"/>
        <v>1430.875497</v>
      </c>
      <c r="F335" s="190">
        <f t="shared" si="1"/>
        <v>51084.46777</v>
      </c>
      <c r="G335" s="191">
        <f t="shared" si="7"/>
        <v>334838.8669</v>
      </c>
      <c r="H335" s="189"/>
      <c r="I335" s="189"/>
      <c r="J335" s="189"/>
      <c r="K335" s="189"/>
      <c r="L335" s="189"/>
      <c r="M335" s="189"/>
      <c r="N335" s="189"/>
      <c r="O335" s="189"/>
      <c r="P335" s="189"/>
      <c r="Q335" s="189"/>
      <c r="R335" s="189"/>
      <c r="S335" s="189"/>
      <c r="T335" s="189"/>
      <c r="U335" s="189"/>
      <c r="V335" s="189"/>
      <c r="W335" s="189"/>
      <c r="X335" s="189"/>
      <c r="Y335" s="189"/>
      <c r="Z335" s="189"/>
      <c r="AA335" s="189"/>
      <c r="AB335" s="189"/>
      <c r="AC335" s="189"/>
      <c r="AD335" s="189"/>
      <c r="AE335" s="189"/>
      <c r="AF335" s="189"/>
      <c r="AG335" s="189"/>
      <c r="AH335" s="189"/>
      <c r="AI335" s="189"/>
      <c r="AJ335" s="189"/>
      <c r="AK335" s="189"/>
      <c r="AL335" s="189"/>
      <c r="AM335" s="189"/>
    </row>
    <row r="336" ht="15.75" customHeight="1">
      <c r="A336" s="189">
        <f t="shared" si="2"/>
        <v>328</v>
      </c>
      <c r="B336" s="190">
        <f t="shared" si="3"/>
        <v>51084.46777</v>
      </c>
      <c r="C336" s="190">
        <f t="shared" si="4"/>
        <v>1671.57082</v>
      </c>
      <c r="D336" s="190">
        <f t="shared" si="5"/>
        <v>234.137144</v>
      </c>
      <c r="E336" s="190">
        <f t="shared" si="6"/>
        <v>1437.433676</v>
      </c>
      <c r="F336" s="190">
        <f t="shared" si="1"/>
        <v>49647.0341</v>
      </c>
      <c r="G336" s="191">
        <f t="shared" si="7"/>
        <v>335664.6698</v>
      </c>
      <c r="H336" s="189"/>
      <c r="I336" s="189"/>
      <c r="J336" s="189"/>
      <c r="K336" s="189"/>
      <c r="L336" s="189"/>
      <c r="M336" s="189"/>
      <c r="N336" s="189"/>
      <c r="O336" s="189"/>
      <c r="P336" s="189"/>
      <c r="Q336" s="189"/>
      <c r="R336" s="189"/>
      <c r="S336" s="189"/>
      <c r="T336" s="189"/>
      <c r="U336" s="189"/>
      <c r="V336" s="189"/>
      <c r="W336" s="189"/>
      <c r="X336" s="189"/>
      <c r="Y336" s="189"/>
      <c r="Z336" s="189"/>
      <c r="AA336" s="189"/>
      <c r="AB336" s="189"/>
      <c r="AC336" s="189"/>
      <c r="AD336" s="189"/>
      <c r="AE336" s="189"/>
      <c r="AF336" s="189"/>
      <c r="AG336" s="189"/>
      <c r="AH336" s="189"/>
      <c r="AI336" s="189"/>
      <c r="AJ336" s="189"/>
      <c r="AK336" s="189"/>
      <c r="AL336" s="189"/>
      <c r="AM336" s="189"/>
    </row>
    <row r="337" ht="15.75" customHeight="1">
      <c r="A337" s="189">
        <f t="shared" si="2"/>
        <v>329</v>
      </c>
      <c r="B337" s="190">
        <f t="shared" si="3"/>
        <v>49647.0341</v>
      </c>
      <c r="C337" s="190">
        <f t="shared" si="4"/>
        <v>1671.57082</v>
      </c>
      <c r="D337" s="190">
        <f t="shared" si="5"/>
        <v>227.5489063</v>
      </c>
      <c r="E337" s="190">
        <f t="shared" si="6"/>
        <v>1444.021914</v>
      </c>
      <c r="F337" s="190">
        <f t="shared" si="1"/>
        <v>48203.01218</v>
      </c>
      <c r="G337" s="191">
        <f t="shared" si="7"/>
        <v>336492.5095</v>
      </c>
      <c r="H337" s="189"/>
      <c r="I337" s="189"/>
      <c r="J337" s="189"/>
      <c r="K337" s="189"/>
      <c r="L337" s="189"/>
      <c r="M337" s="189"/>
      <c r="N337" s="189"/>
      <c r="O337" s="189"/>
      <c r="P337" s="189"/>
      <c r="Q337" s="189"/>
      <c r="R337" s="189"/>
      <c r="S337" s="189"/>
      <c r="T337" s="189"/>
      <c r="U337" s="189"/>
      <c r="V337" s="189"/>
      <c r="W337" s="189"/>
      <c r="X337" s="189"/>
      <c r="Y337" s="189"/>
      <c r="Z337" s="189"/>
      <c r="AA337" s="189"/>
      <c r="AB337" s="189"/>
      <c r="AC337" s="189"/>
      <c r="AD337" s="189"/>
      <c r="AE337" s="189"/>
      <c r="AF337" s="189"/>
      <c r="AG337" s="189"/>
      <c r="AH337" s="189"/>
      <c r="AI337" s="189"/>
      <c r="AJ337" s="189"/>
      <c r="AK337" s="189"/>
      <c r="AL337" s="189"/>
      <c r="AM337" s="189"/>
    </row>
    <row r="338" ht="15.75" customHeight="1">
      <c r="A338" s="189">
        <f t="shared" si="2"/>
        <v>330</v>
      </c>
      <c r="B338" s="190">
        <f t="shared" si="3"/>
        <v>48203.01218</v>
      </c>
      <c r="C338" s="190">
        <f t="shared" si="4"/>
        <v>1671.57082</v>
      </c>
      <c r="D338" s="190">
        <f t="shared" si="5"/>
        <v>220.9304725</v>
      </c>
      <c r="E338" s="190">
        <f t="shared" si="6"/>
        <v>1450.640347</v>
      </c>
      <c r="F338" s="190">
        <f t="shared" si="1"/>
        <v>46752.37183</v>
      </c>
      <c r="G338" s="191">
        <f t="shared" si="7"/>
        <v>337322.3908</v>
      </c>
      <c r="H338" s="189"/>
      <c r="I338" s="189"/>
      <c r="J338" s="189"/>
      <c r="K338" s="189"/>
      <c r="L338" s="189"/>
      <c r="M338" s="189"/>
      <c r="N338" s="189"/>
      <c r="O338" s="189"/>
      <c r="P338" s="189"/>
      <c r="Q338" s="189"/>
      <c r="R338" s="189"/>
      <c r="S338" s="189"/>
      <c r="T338" s="189"/>
      <c r="U338" s="189"/>
      <c r="V338" s="189"/>
      <c r="W338" s="189"/>
      <c r="X338" s="189"/>
      <c r="Y338" s="189"/>
      <c r="Z338" s="189"/>
      <c r="AA338" s="189"/>
      <c r="AB338" s="189"/>
      <c r="AC338" s="189"/>
      <c r="AD338" s="189"/>
      <c r="AE338" s="189"/>
      <c r="AF338" s="189"/>
      <c r="AG338" s="189"/>
      <c r="AH338" s="189"/>
      <c r="AI338" s="189"/>
      <c r="AJ338" s="189"/>
      <c r="AK338" s="189"/>
      <c r="AL338" s="189"/>
      <c r="AM338" s="189"/>
    </row>
    <row r="339" ht="15.75" customHeight="1">
      <c r="A339" s="189">
        <f t="shared" si="2"/>
        <v>331</v>
      </c>
      <c r="B339" s="190">
        <f t="shared" si="3"/>
        <v>46752.37183</v>
      </c>
      <c r="C339" s="190">
        <f t="shared" si="4"/>
        <v>1671.57082</v>
      </c>
      <c r="D339" s="190">
        <f t="shared" si="5"/>
        <v>214.2817042</v>
      </c>
      <c r="E339" s="190">
        <f t="shared" si="6"/>
        <v>1457.289116</v>
      </c>
      <c r="F339" s="190">
        <f t="shared" si="1"/>
        <v>45295.08272</v>
      </c>
      <c r="G339" s="191">
        <f t="shared" si="7"/>
        <v>338154.3188</v>
      </c>
      <c r="H339" s="189"/>
      <c r="I339" s="189"/>
      <c r="J339" s="189"/>
      <c r="K339" s="189"/>
      <c r="L339" s="189"/>
      <c r="M339" s="189"/>
      <c r="N339" s="189"/>
      <c r="O339" s="189"/>
      <c r="P339" s="189"/>
      <c r="Q339" s="189"/>
      <c r="R339" s="189"/>
      <c r="S339" s="189"/>
      <c r="T339" s="189"/>
      <c r="U339" s="189"/>
      <c r="V339" s="189"/>
      <c r="W339" s="189"/>
      <c r="X339" s="189"/>
      <c r="Y339" s="189"/>
      <c r="Z339" s="189"/>
      <c r="AA339" s="189"/>
      <c r="AB339" s="189"/>
      <c r="AC339" s="189"/>
      <c r="AD339" s="189"/>
      <c r="AE339" s="189"/>
      <c r="AF339" s="189"/>
      <c r="AG339" s="189"/>
      <c r="AH339" s="189"/>
      <c r="AI339" s="189"/>
      <c r="AJ339" s="189"/>
      <c r="AK339" s="189"/>
      <c r="AL339" s="189"/>
      <c r="AM339" s="189"/>
    </row>
    <row r="340" ht="15.75" customHeight="1">
      <c r="A340" s="189">
        <f t="shared" si="2"/>
        <v>332</v>
      </c>
      <c r="B340" s="190">
        <f t="shared" si="3"/>
        <v>45295.08272</v>
      </c>
      <c r="C340" s="190">
        <f t="shared" si="4"/>
        <v>1671.57082</v>
      </c>
      <c r="D340" s="190">
        <f t="shared" si="5"/>
        <v>207.6024625</v>
      </c>
      <c r="E340" s="190">
        <f t="shared" si="6"/>
        <v>1463.968358</v>
      </c>
      <c r="F340" s="190">
        <f t="shared" si="1"/>
        <v>43831.11436</v>
      </c>
      <c r="G340" s="191">
        <f t="shared" si="7"/>
        <v>338988.2986</v>
      </c>
      <c r="H340" s="189"/>
      <c r="I340" s="189"/>
      <c r="J340" s="189"/>
      <c r="K340" s="189"/>
      <c r="L340" s="189"/>
      <c r="M340" s="189"/>
      <c r="N340" s="189"/>
      <c r="O340" s="189"/>
      <c r="P340" s="189"/>
      <c r="Q340" s="189"/>
      <c r="R340" s="189"/>
      <c r="S340" s="189"/>
      <c r="T340" s="189"/>
      <c r="U340" s="189"/>
      <c r="V340" s="189"/>
      <c r="W340" s="189"/>
      <c r="X340" s="189"/>
      <c r="Y340" s="189"/>
      <c r="Z340" s="189"/>
      <c r="AA340" s="189"/>
      <c r="AB340" s="189"/>
      <c r="AC340" s="189"/>
      <c r="AD340" s="189"/>
      <c r="AE340" s="189"/>
      <c r="AF340" s="189"/>
      <c r="AG340" s="189"/>
      <c r="AH340" s="189"/>
      <c r="AI340" s="189"/>
      <c r="AJ340" s="189"/>
      <c r="AK340" s="189"/>
      <c r="AL340" s="189"/>
      <c r="AM340" s="189"/>
    </row>
    <row r="341" ht="15.75" customHeight="1">
      <c r="A341" s="189">
        <f t="shared" si="2"/>
        <v>333</v>
      </c>
      <c r="B341" s="190">
        <f t="shared" si="3"/>
        <v>43831.11436</v>
      </c>
      <c r="C341" s="190">
        <f t="shared" si="4"/>
        <v>1671.57082</v>
      </c>
      <c r="D341" s="190">
        <f t="shared" si="5"/>
        <v>200.8926075</v>
      </c>
      <c r="E341" s="190">
        <f t="shared" si="6"/>
        <v>1470.678212</v>
      </c>
      <c r="F341" s="190">
        <f t="shared" si="1"/>
        <v>42360.43615</v>
      </c>
      <c r="G341" s="191">
        <f t="shared" si="7"/>
        <v>339824.3352</v>
      </c>
      <c r="H341" s="189"/>
      <c r="I341" s="189"/>
      <c r="J341" s="189"/>
      <c r="K341" s="189"/>
      <c r="L341" s="189"/>
      <c r="M341" s="189"/>
      <c r="N341" s="189"/>
      <c r="O341" s="189"/>
      <c r="P341" s="189"/>
      <c r="Q341" s="189"/>
      <c r="R341" s="189"/>
      <c r="S341" s="189"/>
      <c r="T341" s="189"/>
      <c r="U341" s="189"/>
      <c r="V341" s="189"/>
      <c r="W341" s="189"/>
      <c r="X341" s="189"/>
      <c r="Y341" s="189"/>
      <c r="Z341" s="189"/>
      <c r="AA341" s="189"/>
      <c r="AB341" s="189"/>
      <c r="AC341" s="189"/>
      <c r="AD341" s="189"/>
      <c r="AE341" s="189"/>
      <c r="AF341" s="189"/>
      <c r="AG341" s="189"/>
      <c r="AH341" s="189"/>
      <c r="AI341" s="189"/>
      <c r="AJ341" s="189"/>
      <c r="AK341" s="189"/>
      <c r="AL341" s="189"/>
      <c r="AM341" s="189"/>
    </row>
    <row r="342" ht="15.75" customHeight="1">
      <c r="A342" s="189">
        <f t="shared" si="2"/>
        <v>334</v>
      </c>
      <c r="B342" s="190">
        <f t="shared" si="3"/>
        <v>42360.43615</v>
      </c>
      <c r="C342" s="190">
        <f t="shared" si="4"/>
        <v>1671.57082</v>
      </c>
      <c r="D342" s="190">
        <f t="shared" si="5"/>
        <v>194.151999</v>
      </c>
      <c r="E342" s="190">
        <f t="shared" si="6"/>
        <v>1477.418821</v>
      </c>
      <c r="F342" s="190">
        <f t="shared" si="1"/>
        <v>40883.01733</v>
      </c>
      <c r="G342" s="191">
        <f t="shared" si="7"/>
        <v>340662.4336</v>
      </c>
      <c r="H342" s="189"/>
      <c r="I342" s="189"/>
      <c r="J342" s="189"/>
      <c r="K342" s="189"/>
      <c r="L342" s="189"/>
      <c r="M342" s="189"/>
      <c r="N342" s="189"/>
      <c r="O342" s="189"/>
      <c r="P342" s="189"/>
      <c r="Q342" s="189"/>
      <c r="R342" s="189"/>
      <c r="S342" s="189"/>
      <c r="T342" s="189"/>
      <c r="U342" s="189"/>
      <c r="V342" s="189"/>
      <c r="W342" s="189"/>
      <c r="X342" s="189"/>
      <c r="Y342" s="189"/>
      <c r="Z342" s="189"/>
      <c r="AA342" s="189"/>
      <c r="AB342" s="189"/>
      <c r="AC342" s="189"/>
      <c r="AD342" s="189"/>
      <c r="AE342" s="189"/>
      <c r="AF342" s="189"/>
      <c r="AG342" s="189"/>
      <c r="AH342" s="189"/>
      <c r="AI342" s="189"/>
      <c r="AJ342" s="189"/>
      <c r="AK342" s="189"/>
      <c r="AL342" s="189"/>
      <c r="AM342" s="189"/>
    </row>
    <row r="343" ht="15.75" customHeight="1">
      <c r="A343" s="189">
        <f t="shared" si="2"/>
        <v>335</v>
      </c>
      <c r="B343" s="190">
        <f t="shared" si="3"/>
        <v>40883.01733</v>
      </c>
      <c r="C343" s="190">
        <f t="shared" si="4"/>
        <v>1671.57082</v>
      </c>
      <c r="D343" s="190">
        <f t="shared" si="5"/>
        <v>187.3804961</v>
      </c>
      <c r="E343" s="190">
        <f t="shared" si="6"/>
        <v>1484.190324</v>
      </c>
      <c r="F343" s="190">
        <f t="shared" si="1"/>
        <v>39398.827</v>
      </c>
      <c r="G343" s="191">
        <f t="shared" si="7"/>
        <v>341502.5991</v>
      </c>
      <c r="H343" s="189"/>
      <c r="I343" s="189"/>
      <c r="J343" s="189"/>
      <c r="K343" s="189"/>
      <c r="L343" s="189"/>
      <c r="M343" s="189"/>
      <c r="N343" s="189"/>
      <c r="O343" s="189"/>
      <c r="P343" s="189"/>
      <c r="Q343" s="189"/>
      <c r="R343" s="189"/>
      <c r="S343" s="189"/>
      <c r="T343" s="189"/>
      <c r="U343" s="189"/>
      <c r="V343" s="189"/>
      <c r="W343" s="189"/>
      <c r="X343" s="189"/>
      <c r="Y343" s="189"/>
      <c r="Z343" s="189"/>
      <c r="AA343" s="189"/>
      <c r="AB343" s="189"/>
      <c r="AC343" s="189"/>
      <c r="AD343" s="189"/>
      <c r="AE343" s="189"/>
      <c r="AF343" s="189"/>
      <c r="AG343" s="189"/>
      <c r="AH343" s="189"/>
      <c r="AI343" s="189"/>
      <c r="AJ343" s="189"/>
      <c r="AK343" s="189"/>
      <c r="AL343" s="189"/>
      <c r="AM343" s="189"/>
    </row>
    <row r="344" ht="15.75" customHeight="1">
      <c r="A344" s="189">
        <f t="shared" si="2"/>
        <v>336</v>
      </c>
      <c r="B344" s="190">
        <f t="shared" si="3"/>
        <v>39398.827</v>
      </c>
      <c r="C344" s="190">
        <f t="shared" si="4"/>
        <v>1671.57082</v>
      </c>
      <c r="D344" s="190">
        <f t="shared" si="5"/>
        <v>180.5779571</v>
      </c>
      <c r="E344" s="190">
        <f t="shared" si="6"/>
        <v>1490.992863</v>
      </c>
      <c r="F344" s="190">
        <f t="shared" si="1"/>
        <v>37907.83414</v>
      </c>
      <c r="G344" s="191">
        <f t="shared" si="7"/>
        <v>342344.8366</v>
      </c>
      <c r="H344" s="189"/>
      <c r="I344" s="189"/>
      <c r="J344" s="189"/>
      <c r="K344" s="189"/>
      <c r="L344" s="189"/>
      <c r="M344" s="189"/>
      <c r="N344" s="189"/>
      <c r="O344" s="189"/>
      <c r="P344" s="189"/>
      <c r="Q344" s="189"/>
      <c r="R344" s="189"/>
      <c r="S344" s="189"/>
      <c r="T344" s="189"/>
      <c r="U344" s="189"/>
      <c r="V344" s="189"/>
      <c r="W344" s="189"/>
      <c r="X344" s="189"/>
      <c r="Y344" s="189"/>
      <c r="Z344" s="189"/>
      <c r="AA344" s="189"/>
      <c r="AB344" s="189"/>
      <c r="AC344" s="189"/>
      <c r="AD344" s="189"/>
      <c r="AE344" s="189"/>
      <c r="AF344" s="189"/>
      <c r="AG344" s="189"/>
      <c r="AH344" s="189"/>
      <c r="AI344" s="189"/>
      <c r="AJ344" s="189"/>
      <c r="AK344" s="189"/>
      <c r="AL344" s="189"/>
      <c r="AM344" s="189"/>
    </row>
    <row r="345" ht="15.75" customHeight="1">
      <c r="A345" s="189">
        <f t="shared" si="2"/>
        <v>337</v>
      </c>
      <c r="B345" s="190">
        <f t="shared" si="3"/>
        <v>37907.83414</v>
      </c>
      <c r="C345" s="190">
        <f t="shared" si="4"/>
        <v>1671.57082</v>
      </c>
      <c r="D345" s="190">
        <f t="shared" si="5"/>
        <v>173.7442398</v>
      </c>
      <c r="E345" s="190">
        <f t="shared" si="6"/>
        <v>1497.82658</v>
      </c>
      <c r="F345" s="190">
        <f t="shared" si="1"/>
        <v>36410.00756</v>
      </c>
      <c r="G345" s="191">
        <f t="shared" si="7"/>
        <v>343189.1514</v>
      </c>
      <c r="H345" s="189"/>
      <c r="I345" s="189"/>
      <c r="J345" s="189"/>
      <c r="K345" s="189"/>
      <c r="L345" s="189"/>
      <c r="M345" s="189"/>
      <c r="N345" s="189"/>
      <c r="O345" s="189"/>
      <c r="P345" s="189"/>
      <c r="Q345" s="189"/>
      <c r="R345" s="189"/>
      <c r="S345" s="189"/>
      <c r="T345" s="189"/>
      <c r="U345" s="189"/>
      <c r="V345" s="189"/>
      <c r="W345" s="189"/>
      <c r="X345" s="189"/>
      <c r="Y345" s="189"/>
      <c r="Z345" s="189"/>
      <c r="AA345" s="189"/>
      <c r="AB345" s="189"/>
      <c r="AC345" s="189"/>
      <c r="AD345" s="189"/>
      <c r="AE345" s="189"/>
      <c r="AF345" s="189"/>
      <c r="AG345" s="189"/>
      <c r="AH345" s="189"/>
      <c r="AI345" s="189"/>
      <c r="AJ345" s="189"/>
      <c r="AK345" s="189"/>
      <c r="AL345" s="189"/>
      <c r="AM345" s="189"/>
    </row>
    <row r="346" ht="15.75" customHeight="1">
      <c r="A346" s="189">
        <f t="shared" si="2"/>
        <v>338</v>
      </c>
      <c r="B346" s="190">
        <f t="shared" si="3"/>
        <v>36410.00756</v>
      </c>
      <c r="C346" s="190">
        <f t="shared" si="4"/>
        <v>1671.57082</v>
      </c>
      <c r="D346" s="190">
        <f t="shared" si="5"/>
        <v>166.8792013</v>
      </c>
      <c r="E346" s="190">
        <f t="shared" si="6"/>
        <v>1504.691619</v>
      </c>
      <c r="F346" s="190">
        <f t="shared" si="1"/>
        <v>34905.31594</v>
      </c>
      <c r="G346" s="191">
        <f t="shared" si="7"/>
        <v>344035.5484</v>
      </c>
      <c r="H346" s="189"/>
      <c r="I346" s="189"/>
      <c r="J346" s="189"/>
      <c r="K346" s="189"/>
      <c r="L346" s="189"/>
      <c r="M346" s="189"/>
      <c r="N346" s="189"/>
      <c r="O346" s="189"/>
      <c r="P346" s="189"/>
      <c r="Q346" s="189"/>
      <c r="R346" s="189"/>
      <c r="S346" s="189"/>
      <c r="T346" s="189"/>
      <c r="U346" s="189"/>
      <c r="V346" s="189"/>
      <c r="W346" s="189"/>
      <c r="X346" s="189"/>
      <c r="Y346" s="189"/>
      <c r="Z346" s="189"/>
      <c r="AA346" s="189"/>
      <c r="AB346" s="189"/>
      <c r="AC346" s="189"/>
      <c r="AD346" s="189"/>
      <c r="AE346" s="189"/>
      <c r="AF346" s="189"/>
      <c r="AG346" s="189"/>
      <c r="AH346" s="189"/>
      <c r="AI346" s="189"/>
      <c r="AJ346" s="189"/>
      <c r="AK346" s="189"/>
      <c r="AL346" s="189"/>
      <c r="AM346" s="189"/>
    </row>
    <row r="347" ht="15.75" customHeight="1">
      <c r="A347" s="189">
        <f t="shared" si="2"/>
        <v>339</v>
      </c>
      <c r="B347" s="190">
        <f t="shared" si="3"/>
        <v>34905.31594</v>
      </c>
      <c r="C347" s="190">
        <f t="shared" si="4"/>
        <v>1671.57082</v>
      </c>
      <c r="D347" s="190">
        <f t="shared" si="5"/>
        <v>159.9826981</v>
      </c>
      <c r="E347" s="190">
        <f t="shared" si="6"/>
        <v>1511.588122</v>
      </c>
      <c r="F347" s="190">
        <f t="shared" si="1"/>
        <v>33393.72782</v>
      </c>
      <c r="G347" s="191">
        <f t="shared" si="7"/>
        <v>344884.0329</v>
      </c>
      <c r="H347" s="189"/>
      <c r="I347" s="189"/>
      <c r="J347" s="189"/>
      <c r="K347" s="189"/>
      <c r="L347" s="189"/>
      <c r="M347" s="189"/>
      <c r="N347" s="189"/>
      <c r="O347" s="189"/>
      <c r="P347" s="189"/>
      <c r="Q347" s="189"/>
      <c r="R347" s="189"/>
      <c r="S347" s="189"/>
      <c r="T347" s="189"/>
      <c r="U347" s="189"/>
      <c r="V347" s="189"/>
      <c r="W347" s="189"/>
      <c r="X347" s="189"/>
      <c r="Y347" s="189"/>
      <c r="Z347" s="189"/>
      <c r="AA347" s="189"/>
      <c r="AB347" s="189"/>
      <c r="AC347" s="189"/>
      <c r="AD347" s="189"/>
      <c r="AE347" s="189"/>
      <c r="AF347" s="189"/>
      <c r="AG347" s="189"/>
      <c r="AH347" s="189"/>
      <c r="AI347" s="189"/>
      <c r="AJ347" s="189"/>
      <c r="AK347" s="189"/>
      <c r="AL347" s="189"/>
      <c r="AM347" s="189"/>
    </row>
    <row r="348" ht="15.75" customHeight="1">
      <c r="A348" s="189">
        <f t="shared" si="2"/>
        <v>340</v>
      </c>
      <c r="B348" s="190">
        <f t="shared" si="3"/>
        <v>33393.72782</v>
      </c>
      <c r="C348" s="190">
        <f t="shared" si="4"/>
        <v>1671.57082</v>
      </c>
      <c r="D348" s="190">
        <f t="shared" si="5"/>
        <v>153.0545858</v>
      </c>
      <c r="E348" s="190">
        <f t="shared" si="6"/>
        <v>1518.516234</v>
      </c>
      <c r="F348" s="190">
        <f t="shared" si="1"/>
        <v>31875.21159</v>
      </c>
      <c r="G348" s="191">
        <f t="shared" si="7"/>
        <v>345734.6099</v>
      </c>
      <c r="H348" s="189"/>
      <c r="I348" s="189"/>
      <c r="J348" s="189"/>
      <c r="K348" s="189"/>
      <c r="L348" s="189"/>
      <c r="M348" s="189"/>
      <c r="N348" s="189"/>
      <c r="O348" s="189"/>
      <c r="P348" s="189"/>
      <c r="Q348" s="189"/>
      <c r="R348" s="189"/>
      <c r="S348" s="189"/>
      <c r="T348" s="189"/>
      <c r="U348" s="189"/>
      <c r="V348" s="189"/>
      <c r="W348" s="189"/>
      <c r="X348" s="189"/>
      <c r="Y348" s="189"/>
      <c r="Z348" s="189"/>
      <c r="AA348" s="189"/>
      <c r="AB348" s="189"/>
      <c r="AC348" s="189"/>
      <c r="AD348" s="189"/>
      <c r="AE348" s="189"/>
      <c r="AF348" s="189"/>
      <c r="AG348" s="189"/>
      <c r="AH348" s="189"/>
      <c r="AI348" s="189"/>
      <c r="AJ348" s="189"/>
      <c r="AK348" s="189"/>
      <c r="AL348" s="189"/>
      <c r="AM348" s="189"/>
    </row>
    <row r="349" ht="15.75" customHeight="1">
      <c r="A349" s="189">
        <f t="shared" si="2"/>
        <v>341</v>
      </c>
      <c r="B349" s="190">
        <f t="shared" si="3"/>
        <v>31875.21159</v>
      </c>
      <c r="C349" s="190">
        <f t="shared" si="4"/>
        <v>1671.57082</v>
      </c>
      <c r="D349" s="190">
        <f t="shared" si="5"/>
        <v>146.0947198</v>
      </c>
      <c r="E349" s="190">
        <f t="shared" si="6"/>
        <v>1525.4761</v>
      </c>
      <c r="F349" s="190">
        <f t="shared" si="1"/>
        <v>30349.73549</v>
      </c>
      <c r="G349" s="191">
        <f t="shared" si="7"/>
        <v>346587.2847</v>
      </c>
      <c r="H349" s="189"/>
      <c r="I349" s="189"/>
      <c r="J349" s="189"/>
      <c r="K349" s="189"/>
      <c r="L349" s="189"/>
      <c r="M349" s="189"/>
      <c r="N349" s="189"/>
      <c r="O349" s="189"/>
      <c r="P349" s="189"/>
      <c r="Q349" s="189"/>
      <c r="R349" s="189"/>
      <c r="S349" s="189"/>
      <c r="T349" s="189"/>
      <c r="U349" s="189"/>
      <c r="V349" s="189"/>
      <c r="W349" s="189"/>
      <c r="X349" s="189"/>
      <c r="Y349" s="189"/>
      <c r="Z349" s="189"/>
      <c r="AA349" s="189"/>
      <c r="AB349" s="189"/>
      <c r="AC349" s="189"/>
      <c r="AD349" s="189"/>
      <c r="AE349" s="189"/>
      <c r="AF349" s="189"/>
      <c r="AG349" s="189"/>
      <c r="AH349" s="189"/>
      <c r="AI349" s="189"/>
      <c r="AJ349" s="189"/>
      <c r="AK349" s="189"/>
      <c r="AL349" s="189"/>
      <c r="AM349" s="189"/>
    </row>
    <row r="350" ht="15.75" customHeight="1">
      <c r="A350" s="189">
        <f t="shared" si="2"/>
        <v>342</v>
      </c>
      <c r="B350" s="190">
        <f t="shared" si="3"/>
        <v>30349.73549</v>
      </c>
      <c r="C350" s="190">
        <f t="shared" si="4"/>
        <v>1671.57082</v>
      </c>
      <c r="D350" s="190">
        <f t="shared" si="5"/>
        <v>139.1029543</v>
      </c>
      <c r="E350" s="190">
        <f t="shared" si="6"/>
        <v>1532.467866</v>
      </c>
      <c r="F350" s="190">
        <f t="shared" si="1"/>
        <v>28817.26762</v>
      </c>
      <c r="G350" s="191">
        <f t="shared" si="7"/>
        <v>347442.0625</v>
      </c>
      <c r="H350" s="189"/>
      <c r="I350" s="189"/>
      <c r="J350" s="189"/>
      <c r="K350" s="189"/>
      <c r="L350" s="189"/>
      <c r="M350" s="189"/>
      <c r="N350" s="189"/>
      <c r="O350" s="189"/>
      <c r="P350" s="189"/>
      <c r="Q350" s="189"/>
      <c r="R350" s="189"/>
      <c r="S350" s="189"/>
      <c r="T350" s="189"/>
      <c r="U350" s="189"/>
      <c r="V350" s="189"/>
      <c r="W350" s="189"/>
      <c r="X350" s="189"/>
      <c r="Y350" s="189"/>
      <c r="Z350" s="189"/>
      <c r="AA350" s="189"/>
      <c r="AB350" s="189"/>
      <c r="AC350" s="189"/>
      <c r="AD350" s="189"/>
      <c r="AE350" s="189"/>
      <c r="AF350" s="189"/>
      <c r="AG350" s="189"/>
      <c r="AH350" s="189"/>
      <c r="AI350" s="189"/>
      <c r="AJ350" s="189"/>
      <c r="AK350" s="189"/>
      <c r="AL350" s="189"/>
      <c r="AM350" s="189"/>
    </row>
    <row r="351" ht="15.75" customHeight="1">
      <c r="A351" s="189">
        <f t="shared" si="2"/>
        <v>343</v>
      </c>
      <c r="B351" s="190">
        <f t="shared" si="3"/>
        <v>28817.26762</v>
      </c>
      <c r="C351" s="190">
        <f t="shared" si="4"/>
        <v>1671.57082</v>
      </c>
      <c r="D351" s="190">
        <f t="shared" si="5"/>
        <v>132.0791433</v>
      </c>
      <c r="E351" s="190">
        <f t="shared" si="6"/>
        <v>1539.491677</v>
      </c>
      <c r="F351" s="190">
        <f t="shared" si="1"/>
        <v>27277.77594</v>
      </c>
      <c r="G351" s="191">
        <f t="shared" si="7"/>
        <v>348298.9483</v>
      </c>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row>
    <row r="352" ht="15.75" customHeight="1">
      <c r="A352" s="189">
        <f t="shared" si="2"/>
        <v>344</v>
      </c>
      <c r="B352" s="190">
        <f t="shared" si="3"/>
        <v>27277.77594</v>
      </c>
      <c r="C352" s="190">
        <f t="shared" si="4"/>
        <v>1671.57082</v>
      </c>
      <c r="D352" s="190">
        <f t="shared" si="5"/>
        <v>125.0231397</v>
      </c>
      <c r="E352" s="190">
        <f t="shared" si="6"/>
        <v>1546.54768</v>
      </c>
      <c r="F352" s="190">
        <f t="shared" si="1"/>
        <v>25731.22826</v>
      </c>
      <c r="G352" s="191">
        <f t="shared" si="7"/>
        <v>349157.9475</v>
      </c>
      <c r="H352" s="189"/>
      <c r="I352" s="189"/>
      <c r="J352" s="189"/>
      <c r="K352" s="189"/>
      <c r="L352" s="189"/>
      <c r="M352" s="189"/>
      <c r="N352" s="189"/>
      <c r="O352" s="189"/>
      <c r="P352" s="189"/>
      <c r="Q352" s="189"/>
      <c r="R352" s="189"/>
      <c r="S352" s="189"/>
      <c r="T352" s="189"/>
      <c r="U352" s="189"/>
      <c r="V352" s="189"/>
      <c r="W352" s="189"/>
      <c r="X352" s="189"/>
      <c r="Y352" s="189"/>
      <c r="Z352" s="189"/>
      <c r="AA352" s="189"/>
      <c r="AB352" s="189"/>
      <c r="AC352" s="189"/>
      <c r="AD352" s="189"/>
      <c r="AE352" s="189"/>
      <c r="AF352" s="189"/>
      <c r="AG352" s="189"/>
      <c r="AH352" s="189"/>
      <c r="AI352" s="189"/>
      <c r="AJ352" s="189"/>
      <c r="AK352" s="189"/>
      <c r="AL352" s="189"/>
      <c r="AM352" s="189"/>
    </row>
    <row r="353" ht="15.75" customHeight="1">
      <c r="A353" s="189">
        <f t="shared" si="2"/>
        <v>345</v>
      </c>
      <c r="B353" s="190">
        <f t="shared" si="3"/>
        <v>25731.22826</v>
      </c>
      <c r="C353" s="190">
        <f t="shared" si="4"/>
        <v>1671.57082</v>
      </c>
      <c r="D353" s="190">
        <f t="shared" si="5"/>
        <v>117.9347962</v>
      </c>
      <c r="E353" s="190">
        <f t="shared" si="6"/>
        <v>1553.636024</v>
      </c>
      <c r="F353" s="190">
        <f t="shared" si="1"/>
        <v>24177.59224</v>
      </c>
      <c r="G353" s="191">
        <f t="shared" si="7"/>
        <v>350019.0652</v>
      </c>
      <c r="H353" s="189"/>
      <c r="I353" s="189"/>
      <c r="J353" s="189"/>
      <c r="K353" s="189"/>
      <c r="L353" s="189"/>
      <c r="M353" s="189"/>
      <c r="N353" s="189"/>
      <c r="O353" s="189"/>
      <c r="P353" s="189"/>
      <c r="Q353" s="189"/>
      <c r="R353" s="189"/>
      <c r="S353" s="189"/>
      <c r="T353" s="189"/>
      <c r="U353" s="189"/>
      <c r="V353" s="189"/>
      <c r="W353" s="189"/>
      <c r="X353" s="189"/>
      <c r="Y353" s="189"/>
      <c r="Z353" s="189"/>
      <c r="AA353" s="189"/>
      <c r="AB353" s="189"/>
      <c r="AC353" s="189"/>
      <c r="AD353" s="189"/>
      <c r="AE353" s="189"/>
      <c r="AF353" s="189"/>
      <c r="AG353" s="189"/>
      <c r="AH353" s="189"/>
      <c r="AI353" s="189"/>
      <c r="AJ353" s="189"/>
      <c r="AK353" s="189"/>
      <c r="AL353" s="189"/>
      <c r="AM353" s="189"/>
    </row>
    <row r="354" ht="15.75" customHeight="1">
      <c r="A354" s="189">
        <f t="shared" si="2"/>
        <v>346</v>
      </c>
      <c r="B354" s="190">
        <f t="shared" si="3"/>
        <v>24177.59224</v>
      </c>
      <c r="C354" s="190">
        <f t="shared" si="4"/>
        <v>1671.57082</v>
      </c>
      <c r="D354" s="190">
        <f t="shared" si="5"/>
        <v>110.8139644</v>
      </c>
      <c r="E354" s="190">
        <f t="shared" si="6"/>
        <v>1560.756856</v>
      </c>
      <c r="F354" s="190">
        <f t="shared" si="1"/>
        <v>22616.83538</v>
      </c>
      <c r="G354" s="191">
        <f t="shared" si="7"/>
        <v>350882.3066</v>
      </c>
      <c r="H354" s="189"/>
      <c r="I354" s="189"/>
      <c r="J354" s="189"/>
      <c r="K354" s="189"/>
      <c r="L354" s="189"/>
      <c r="M354" s="189"/>
      <c r="N354" s="189"/>
      <c r="O354" s="189"/>
      <c r="P354" s="189"/>
      <c r="Q354" s="189"/>
      <c r="R354" s="189"/>
      <c r="S354" s="189"/>
      <c r="T354" s="189"/>
      <c r="U354" s="189"/>
      <c r="V354" s="189"/>
      <c r="W354" s="189"/>
      <c r="X354" s="189"/>
      <c r="Y354" s="189"/>
      <c r="Z354" s="189"/>
      <c r="AA354" s="189"/>
      <c r="AB354" s="189"/>
      <c r="AC354" s="189"/>
      <c r="AD354" s="189"/>
      <c r="AE354" s="189"/>
      <c r="AF354" s="189"/>
      <c r="AG354" s="189"/>
      <c r="AH354" s="189"/>
      <c r="AI354" s="189"/>
      <c r="AJ354" s="189"/>
      <c r="AK354" s="189"/>
      <c r="AL354" s="189"/>
      <c r="AM354" s="189"/>
    </row>
    <row r="355" ht="15.75" customHeight="1">
      <c r="A355" s="189">
        <f t="shared" si="2"/>
        <v>347</v>
      </c>
      <c r="B355" s="190">
        <f t="shared" si="3"/>
        <v>22616.83538</v>
      </c>
      <c r="C355" s="190">
        <f t="shared" si="4"/>
        <v>1671.57082</v>
      </c>
      <c r="D355" s="190">
        <f t="shared" si="5"/>
        <v>103.6604955</v>
      </c>
      <c r="E355" s="190">
        <f t="shared" si="6"/>
        <v>1567.910324</v>
      </c>
      <c r="F355" s="190">
        <f t="shared" si="1"/>
        <v>21048.92506</v>
      </c>
      <c r="G355" s="191">
        <f t="shared" si="7"/>
        <v>351747.6771</v>
      </c>
      <c r="H355" s="189"/>
      <c r="I355" s="189"/>
      <c r="J355" s="189"/>
      <c r="K355" s="189"/>
      <c r="L355" s="189"/>
      <c r="M355" s="189"/>
      <c r="N355" s="189"/>
      <c r="O355" s="189"/>
      <c r="P355" s="189"/>
      <c r="Q355" s="189"/>
      <c r="R355" s="189"/>
      <c r="S355" s="189"/>
      <c r="T355" s="189"/>
      <c r="U355" s="189"/>
      <c r="V355" s="189"/>
      <c r="W355" s="189"/>
      <c r="X355" s="189"/>
      <c r="Y355" s="189"/>
      <c r="Z355" s="189"/>
      <c r="AA355" s="189"/>
      <c r="AB355" s="189"/>
      <c r="AC355" s="189"/>
      <c r="AD355" s="189"/>
      <c r="AE355" s="189"/>
      <c r="AF355" s="189"/>
      <c r="AG355" s="189"/>
      <c r="AH355" s="189"/>
      <c r="AI355" s="189"/>
      <c r="AJ355" s="189"/>
      <c r="AK355" s="189"/>
      <c r="AL355" s="189"/>
      <c r="AM355" s="189"/>
    </row>
    <row r="356" ht="15.75" customHeight="1">
      <c r="A356" s="189">
        <f t="shared" si="2"/>
        <v>348</v>
      </c>
      <c r="B356" s="190">
        <f t="shared" si="3"/>
        <v>21048.92506</v>
      </c>
      <c r="C356" s="190">
        <f t="shared" si="4"/>
        <v>1671.57082</v>
      </c>
      <c r="D356" s="190">
        <f t="shared" si="5"/>
        <v>96.47423986</v>
      </c>
      <c r="E356" s="190">
        <f t="shared" si="6"/>
        <v>1575.09658</v>
      </c>
      <c r="F356" s="190">
        <f t="shared" si="1"/>
        <v>19473.82848</v>
      </c>
      <c r="G356" s="191">
        <f t="shared" si="7"/>
        <v>352615.1817</v>
      </c>
      <c r="H356" s="189"/>
      <c r="I356" s="189"/>
      <c r="J356" s="189"/>
      <c r="K356" s="189"/>
      <c r="L356" s="189"/>
      <c r="M356" s="189"/>
      <c r="N356" s="189"/>
      <c r="O356" s="189"/>
      <c r="P356" s="189"/>
      <c r="Q356" s="189"/>
      <c r="R356" s="189"/>
      <c r="S356" s="189"/>
      <c r="T356" s="189"/>
      <c r="U356" s="189"/>
      <c r="V356" s="189"/>
      <c r="W356" s="189"/>
      <c r="X356" s="189"/>
      <c r="Y356" s="189"/>
      <c r="Z356" s="189"/>
      <c r="AA356" s="189"/>
      <c r="AB356" s="189"/>
      <c r="AC356" s="189"/>
      <c r="AD356" s="189"/>
      <c r="AE356" s="189"/>
      <c r="AF356" s="189"/>
      <c r="AG356" s="189"/>
      <c r="AH356" s="189"/>
      <c r="AI356" s="189"/>
      <c r="AJ356" s="189"/>
      <c r="AK356" s="189"/>
      <c r="AL356" s="189"/>
      <c r="AM356" s="189"/>
    </row>
    <row r="357" ht="15.75" customHeight="1">
      <c r="A357" s="189">
        <f t="shared" si="2"/>
        <v>349</v>
      </c>
      <c r="B357" s="190">
        <f t="shared" si="3"/>
        <v>19473.82848</v>
      </c>
      <c r="C357" s="190">
        <f t="shared" si="4"/>
        <v>1671.57082</v>
      </c>
      <c r="D357" s="190">
        <f t="shared" si="5"/>
        <v>89.2550472</v>
      </c>
      <c r="E357" s="190">
        <f t="shared" si="6"/>
        <v>1582.315773</v>
      </c>
      <c r="F357" s="190">
        <f t="shared" si="1"/>
        <v>17891.51271</v>
      </c>
      <c r="G357" s="191">
        <f t="shared" si="7"/>
        <v>353484.8259</v>
      </c>
      <c r="H357" s="189"/>
      <c r="I357" s="189"/>
      <c r="J357" s="189"/>
      <c r="K357" s="189"/>
      <c r="L357" s="189"/>
      <c r="M357" s="189"/>
      <c r="N357" s="189"/>
      <c r="O357" s="189"/>
      <c r="P357" s="189"/>
      <c r="Q357" s="189"/>
      <c r="R357" s="189"/>
      <c r="S357" s="189"/>
      <c r="T357" s="189"/>
      <c r="U357" s="189"/>
      <c r="V357" s="189"/>
      <c r="W357" s="189"/>
      <c r="X357" s="189"/>
      <c r="Y357" s="189"/>
      <c r="Z357" s="189"/>
      <c r="AA357" s="189"/>
      <c r="AB357" s="189"/>
      <c r="AC357" s="189"/>
      <c r="AD357" s="189"/>
      <c r="AE357" s="189"/>
      <c r="AF357" s="189"/>
      <c r="AG357" s="189"/>
      <c r="AH357" s="189"/>
      <c r="AI357" s="189"/>
      <c r="AJ357" s="189"/>
      <c r="AK357" s="189"/>
      <c r="AL357" s="189"/>
      <c r="AM357" s="189"/>
    </row>
    <row r="358" ht="15.75" customHeight="1">
      <c r="A358" s="189">
        <f t="shared" si="2"/>
        <v>350</v>
      </c>
      <c r="B358" s="190">
        <f t="shared" si="3"/>
        <v>17891.51271</v>
      </c>
      <c r="C358" s="190">
        <f t="shared" si="4"/>
        <v>1671.57082</v>
      </c>
      <c r="D358" s="190">
        <f t="shared" si="5"/>
        <v>82.00276657</v>
      </c>
      <c r="E358" s="190">
        <f t="shared" si="6"/>
        <v>1589.568053</v>
      </c>
      <c r="F358" s="190">
        <f t="shared" si="1"/>
        <v>16301.94465</v>
      </c>
      <c r="G358" s="191">
        <f t="shared" si="7"/>
        <v>354356.6148</v>
      </c>
      <c r="H358" s="189"/>
      <c r="I358" s="189"/>
      <c r="J358" s="189"/>
      <c r="K358" s="189"/>
      <c r="L358" s="189"/>
      <c r="M358" s="189"/>
      <c r="N358" s="189"/>
      <c r="O358" s="189"/>
      <c r="P358" s="189"/>
      <c r="Q358" s="189"/>
      <c r="R358" s="189"/>
      <c r="S358" s="189"/>
      <c r="T358" s="189"/>
      <c r="U358" s="189"/>
      <c r="V358" s="189"/>
      <c r="W358" s="189"/>
      <c r="X358" s="189"/>
      <c r="Y358" s="189"/>
      <c r="Z358" s="189"/>
      <c r="AA358" s="189"/>
      <c r="AB358" s="189"/>
      <c r="AC358" s="189"/>
      <c r="AD358" s="189"/>
      <c r="AE358" s="189"/>
      <c r="AF358" s="189"/>
      <c r="AG358" s="189"/>
      <c r="AH358" s="189"/>
      <c r="AI358" s="189"/>
      <c r="AJ358" s="189"/>
      <c r="AK358" s="189"/>
      <c r="AL358" s="189"/>
      <c r="AM358" s="189"/>
    </row>
    <row r="359" ht="15.75" customHeight="1">
      <c r="A359" s="189">
        <f t="shared" si="2"/>
        <v>351</v>
      </c>
      <c r="B359" s="190">
        <f t="shared" si="3"/>
        <v>16301.94465</v>
      </c>
      <c r="C359" s="190">
        <f t="shared" si="4"/>
        <v>1671.57082</v>
      </c>
      <c r="D359" s="190">
        <f t="shared" si="5"/>
        <v>74.71724633</v>
      </c>
      <c r="E359" s="190">
        <f t="shared" si="6"/>
        <v>1596.853574</v>
      </c>
      <c r="F359" s="190">
        <f t="shared" si="1"/>
        <v>14705.09108</v>
      </c>
      <c r="G359" s="191">
        <f t="shared" si="7"/>
        <v>355230.5539</v>
      </c>
      <c r="H359" s="189"/>
      <c r="I359" s="189"/>
      <c r="J359" s="189"/>
      <c r="K359" s="189"/>
      <c r="L359" s="189"/>
      <c r="M359" s="189"/>
      <c r="N359" s="189"/>
      <c r="O359" s="189"/>
      <c r="P359" s="189"/>
      <c r="Q359" s="189"/>
      <c r="R359" s="189"/>
      <c r="S359" s="189"/>
      <c r="T359" s="189"/>
      <c r="U359" s="189"/>
      <c r="V359" s="189"/>
      <c r="W359" s="189"/>
      <c r="X359" s="189"/>
      <c r="Y359" s="189"/>
      <c r="Z359" s="189"/>
      <c r="AA359" s="189"/>
      <c r="AB359" s="189"/>
      <c r="AC359" s="189"/>
      <c r="AD359" s="189"/>
      <c r="AE359" s="189"/>
      <c r="AF359" s="189"/>
      <c r="AG359" s="189"/>
      <c r="AH359" s="189"/>
      <c r="AI359" s="189"/>
      <c r="AJ359" s="189"/>
      <c r="AK359" s="189"/>
      <c r="AL359" s="189"/>
      <c r="AM359" s="189"/>
    </row>
    <row r="360" ht="15.75" customHeight="1">
      <c r="A360" s="189">
        <f t="shared" si="2"/>
        <v>352</v>
      </c>
      <c r="B360" s="190">
        <f t="shared" si="3"/>
        <v>14705.09108</v>
      </c>
      <c r="C360" s="190">
        <f t="shared" si="4"/>
        <v>1671.57082</v>
      </c>
      <c r="D360" s="190">
        <f t="shared" si="5"/>
        <v>67.39833411</v>
      </c>
      <c r="E360" s="190">
        <f t="shared" si="6"/>
        <v>1604.172486</v>
      </c>
      <c r="F360" s="190">
        <f t="shared" si="1"/>
        <v>13100.91859</v>
      </c>
      <c r="G360" s="191">
        <f t="shared" si="7"/>
        <v>356106.6482</v>
      </c>
      <c r="H360" s="189"/>
      <c r="I360" s="189"/>
      <c r="J360" s="189"/>
      <c r="K360" s="189"/>
      <c r="L360" s="189"/>
      <c r="M360" s="189"/>
      <c r="N360" s="189"/>
      <c r="O360" s="189"/>
      <c r="P360" s="189"/>
      <c r="Q360" s="189"/>
      <c r="R360" s="189"/>
      <c r="S360" s="189"/>
      <c r="T360" s="189"/>
      <c r="U360" s="189"/>
      <c r="V360" s="189"/>
      <c r="W360" s="189"/>
      <c r="X360" s="189"/>
      <c r="Y360" s="189"/>
      <c r="Z360" s="189"/>
      <c r="AA360" s="189"/>
      <c r="AB360" s="189"/>
      <c r="AC360" s="189"/>
      <c r="AD360" s="189"/>
      <c r="AE360" s="189"/>
      <c r="AF360" s="189"/>
      <c r="AG360" s="189"/>
      <c r="AH360" s="189"/>
      <c r="AI360" s="189"/>
      <c r="AJ360" s="189"/>
      <c r="AK360" s="189"/>
      <c r="AL360" s="189"/>
      <c r="AM360" s="189"/>
    </row>
    <row r="361" ht="15.75" customHeight="1">
      <c r="A361" s="189">
        <f t="shared" si="2"/>
        <v>353</v>
      </c>
      <c r="B361" s="190">
        <f t="shared" si="3"/>
        <v>13100.91859</v>
      </c>
      <c r="C361" s="190">
        <f t="shared" si="4"/>
        <v>1671.57082</v>
      </c>
      <c r="D361" s="190">
        <f t="shared" si="5"/>
        <v>60.04587689</v>
      </c>
      <c r="E361" s="190">
        <f t="shared" si="6"/>
        <v>1611.524943</v>
      </c>
      <c r="F361" s="190">
        <f t="shared" si="1"/>
        <v>11489.39365</v>
      </c>
      <c r="G361" s="191">
        <f t="shared" si="7"/>
        <v>356984.9033</v>
      </c>
      <c r="H361" s="189"/>
      <c r="I361" s="189"/>
      <c r="J361" s="189"/>
      <c r="K361" s="189"/>
      <c r="L361" s="189"/>
      <c r="M361" s="189"/>
      <c r="N361" s="189"/>
      <c r="O361" s="189"/>
      <c r="P361" s="189"/>
      <c r="Q361" s="189"/>
      <c r="R361" s="189"/>
      <c r="S361" s="189"/>
      <c r="T361" s="189"/>
      <c r="U361" s="189"/>
      <c r="V361" s="189"/>
      <c r="W361" s="189"/>
      <c r="X361" s="189"/>
      <c r="Y361" s="189"/>
      <c r="Z361" s="189"/>
      <c r="AA361" s="189"/>
      <c r="AB361" s="189"/>
      <c r="AC361" s="189"/>
      <c r="AD361" s="189"/>
      <c r="AE361" s="189"/>
      <c r="AF361" s="189"/>
      <c r="AG361" s="189"/>
      <c r="AH361" s="189"/>
      <c r="AI361" s="189"/>
      <c r="AJ361" s="189"/>
      <c r="AK361" s="189"/>
      <c r="AL361" s="189"/>
      <c r="AM361" s="189"/>
    </row>
    <row r="362" ht="15.75" customHeight="1">
      <c r="A362" s="189">
        <f t="shared" si="2"/>
        <v>354</v>
      </c>
      <c r="B362" s="190">
        <f t="shared" si="3"/>
        <v>11489.39365</v>
      </c>
      <c r="C362" s="190">
        <f t="shared" si="4"/>
        <v>1671.57082</v>
      </c>
      <c r="D362" s="190">
        <f t="shared" si="5"/>
        <v>52.6597209</v>
      </c>
      <c r="E362" s="190">
        <f t="shared" si="6"/>
        <v>1618.911099</v>
      </c>
      <c r="F362" s="190">
        <f t="shared" si="1"/>
        <v>9870.482551</v>
      </c>
      <c r="G362" s="191">
        <f t="shared" si="7"/>
        <v>357865.3244</v>
      </c>
      <c r="H362" s="189"/>
      <c r="I362" s="189"/>
      <c r="J362" s="189"/>
      <c r="K362" s="189"/>
      <c r="L362" s="189"/>
      <c r="M362" s="189"/>
      <c r="N362" s="189"/>
      <c r="O362" s="189"/>
      <c r="P362" s="189"/>
      <c r="Q362" s="189"/>
      <c r="R362" s="189"/>
      <c r="S362" s="189"/>
      <c r="T362" s="189"/>
      <c r="U362" s="189"/>
      <c r="V362" s="189"/>
      <c r="W362" s="189"/>
      <c r="X362" s="189"/>
      <c r="Y362" s="189"/>
      <c r="Z362" s="189"/>
      <c r="AA362" s="189"/>
      <c r="AB362" s="189"/>
      <c r="AC362" s="189"/>
      <c r="AD362" s="189"/>
      <c r="AE362" s="189"/>
      <c r="AF362" s="189"/>
      <c r="AG362" s="189"/>
      <c r="AH362" s="189"/>
      <c r="AI362" s="189"/>
      <c r="AJ362" s="189"/>
      <c r="AK362" s="189"/>
      <c r="AL362" s="189"/>
      <c r="AM362" s="189"/>
    </row>
    <row r="363" ht="15.75" customHeight="1">
      <c r="A363" s="189">
        <f t="shared" si="2"/>
        <v>355</v>
      </c>
      <c r="B363" s="190">
        <f t="shared" si="3"/>
        <v>9870.482551</v>
      </c>
      <c r="C363" s="190">
        <f t="shared" si="4"/>
        <v>1671.57082</v>
      </c>
      <c r="D363" s="190">
        <f t="shared" si="5"/>
        <v>45.23971169</v>
      </c>
      <c r="E363" s="190">
        <f t="shared" si="6"/>
        <v>1626.331108</v>
      </c>
      <c r="F363" s="190">
        <f t="shared" si="1"/>
        <v>8244.151443</v>
      </c>
      <c r="G363" s="191">
        <f t="shared" si="7"/>
        <v>358747.9168</v>
      </c>
      <c r="H363" s="189"/>
      <c r="I363" s="189"/>
      <c r="J363" s="189"/>
      <c r="K363" s="189"/>
      <c r="L363" s="189"/>
      <c r="M363" s="189"/>
      <c r="N363" s="189"/>
      <c r="O363" s="189"/>
      <c r="P363" s="189"/>
      <c r="Q363" s="189"/>
      <c r="R363" s="189"/>
      <c r="S363" s="189"/>
      <c r="T363" s="189"/>
      <c r="U363" s="189"/>
      <c r="V363" s="189"/>
      <c r="W363" s="189"/>
      <c r="X363" s="189"/>
      <c r="Y363" s="189"/>
      <c r="Z363" s="189"/>
      <c r="AA363" s="189"/>
      <c r="AB363" s="189"/>
      <c r="AC363" s="189"/>
      <c r="AD363" s="189"/>
      <c r="AE363" s="189"/>
      <c r="AF363" s="189"/>
      <c r="AG363" s="189"/>
      <c r="AH363" s="189"/>
      <c r="AI363" s="189"/>
      <c r="AJ363" s="189"/>
      <c r="AK363" s="189"/>
      <c r="AL363" s="189"/>
      <c r="AM363" s="189"/>
    </row>
    <row r="364" ht="15.75" customHeight="1">
      <c r="A364" s="189">
        <f t="shared" si="2"/>
        <v>356</v>
      </c>
      <c r="B364" s="190">
        <f t="shared" si="3"/>
        <v>8244.151443</v>
      </c>
      <c r="C364" s="190">
        <f t="shared" si="4"/>
        <v>1671.57082</v>
      </c>
      <c r="D364" s="190">
        <f t="shared" si="5"/>
        <v>37.78569411</v>
      </c>
      <c r="E364" s="190">
        <f t="shared" si="6"/>
        <v>1633.785126</v>
      </c>
      <c r="F364" s="190">
        <f t="shared" si="1"/>
        <v>6610.366317</v>
      </c>
      <c r="G364" s="191">
        <f t="shared" si="7"/>
        <v>359632.6859</v>
      </c>
      <c r="H364" s="189"/>
      <c r="I364" s="189"/>
      <c r="J364" s="189"/>
      <c r="K364" s="189"/>
      <c r="L364" s="189"/>
      <c r="M364" s="189"/>
      <c r="N364" s="189"/>
      <c r="O364" s="189"/>
      <c r="P364" s="189"/>
      <c r="Q364" s="189"/>
      <c r="R364" s="189"/>
      <c r="S364" s="189"/>
      <c r="T364" s="189"/>
      <c r="U364" s="189"/>
      <c r="V364" s="189"/>
      <c r="W364" s="189"/>
      <c r="X364" s="189"/>
      <c r="Y364" s="189"/>
      <c r="Z364" s="189"/>
      <c r="AA364" s="189"/>
      <c r="AB364" s="189"/>
      <c r="AC364" s="189"/>
      <c r="AD364" s="189"/>
      <c r="AE364" s="189"/>
      <c r="AF364" s="189"/>
      <c r="AG364" s="189"/>
      <c r="AH364" s="189"/>
      <c r="AI364" s="189"/>
      <c r="AJ364" s="189"/>
      <c r="AK364" s="189"/>
      <c r="AL364" s="189"/>
      <c r="AM364" s="189"/>
    </row>
    <row r="365" ht="15.75" customHeight="1">
      <c r="A365" s="189">
        <f t="shared" si="2"/>
        <v>357</v>
      </c>
      <c r="B365" s="190">
        <f t="shared" si="3"/>
        <v>6610.366317</v>
      </c>
      <c r="C365" s="190">
        <f t="shared" si="4"/>
        <v>1671.57082</v>
      </c>
      <c r="D365" s="190">
        <f t="shared" si="5"/>
        <v>30.29751229</v>
      </c>
      <c r="E365" s="190">
        <f t="shared" si="6"/>
        <v>1641.273308</v>
      </c>
      <c r="F365" s="190">
        <f t="shared" si="1"/>
        <v>4969.09301</v>
      </c>
      <c r="G365" s="191">
        <f t="shared" si="7"/>
        <v>360519.6372</v>
      </c>
      <c r="H365" s="189"/>
      <c r="I365" s="189"/>
      <c r="J365" s="189"/>
      <c r="K365" s="189"/>
      <c r="L365" s="189"/>
      <c r="M365" s="189"/>
      <c r="N365" s="189"/>
      <c r="O365" s="189"/>
      <c r="P365" s="189"/>
      <c r="Q365" s="189"/>
      <c r="R365" s="189"/>
      <c r="S365" s="189"/>
      <c r="T365" s="189"/>
      <c r="U365" s="189"/>
      <c r="V365" s="189"/>
      <c r="W365" s="189"/>
      <c r="X365" s="189"/>
      <c r="Y365" s="189"/>
      <c r="Z365" s="189"/>
      <c r="AA365" s="189"/>
      <c r="AB365" s="189"/>
      <c r="AC365" s="189"/>
      <c r="AD365" s="189"/>
      <c r="AE365" s="189"/>
      <c r="AF365" s="189"/>
      <c r="AG365" s="189"/>
      <c r="AH365" s="189"/>
      <c r="AI365" s="189"/>
      <c r="AJ365" s="189"/>
      <c r="AK365" s="189"/>
      <c r="AL365" s="189"/>
      <c r="AM365" s="189"/>
    </row>
    <row r="366" ht="15.75" customHeight="1">
      <c r="A366" s="189">
        <f t="shared" si="2"/>
        <v>358</v>
      </c>
      <c r="B366" s="190">
        <f t="shared" si="3"/>
        <v>4969.09301</v>
      </c>
      <c r="C366" s="190">
        <f t="shared" si="4"/>
        <v>1671.57082</v>
      </c>
      <c r="D366" s="190">
        <f t="shared" si="5"/>
        <v>22.77500963</v>
      </c>
      <c r="E366" s="190">
        <f t="shared" si="6"/>
        <v>1648.79581</v>
      </c>
      <c r="F366" s="190">
        <f t="shared" si="1"/>
        <v>3320.297199</v>
      </c>
      <c r="G366" s="191">
        <f t="shared" si="7"/>
        <v>361408.7758</v>
      </c>
      <c r="H366" s="189"/>
      <c r="I366" s="189"/>
      <c r="J366" s="189"/>
      <c r="K366" s="189"/>
      <c r="L366" s="189"/>
      <c r="M366" s="189"/>
      <c r="N366" s="189"/>
      <c r="O366" s="189"/>
      <c r="P366" s="189"/>
      <c r="Q366" s="189"/>
      <c r="R366" s="189"/>
      <c r="S366" s="189"/>
      <c r="T366" s="189"/>
      <c r="U366" s="189"/>
      <c r="V366" s="189"/>
      <c r="W366" s="189"/>
      <c r="X366" s="189"/>
      <c r="Y366" s="189"/>
      <c r="Z366" s="189"/>
      <c r="AA366" s="189"/>
      <c r="AB366" s="189"/>
      <c r="AC366" s="189"/>
      <c r="AD366" s="189"/>
      <c r="AE366" s="189"/>
      <c r="AF366" s="189"/>
      <c r="AG366" s="189"/>
      <c r="AH366" s="189"/>
      <c r="AI366" s="189"/>
      <c r="AJ366" s="189"/>
      <c r="AK366" s="189"/>
      <c r="AL366" s="189"/>
      <c r="AM366" s="189"/>
    </row>
    <row r="367" ht="15.75" customHeight="1">
      <c r="A367" s="189">
        <f t="shared" si="2"/>
        <v>359</v>
      </c>
      <c r="B367" s="190">
        <f t="shared" si="3"/>
        <v>3320.297199</v>
      </c>
      <c r="C367" s="190">
        <f t="shared" si="4"/>
        <v>1671.57082</v>
      </c>
      <c r="D367" s="190">
        <f t="shared" si="5"/>
        <v>15.21802883</v>
      </c>
      <c r="E367" s="190">
        <f t="shared" si="6"/>
        <v>1656.352791</v>
      </c>
      <c r="F367" s="190">
        <f t="shared" si="1"/>
        <v>1663.944408</v>
      </c>
      <c r="G367" s="191">
        <f t="shared" si="7"/>
        <v>362300.1074</v>
      </c>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row>
    <row r="368" ht="15.75" customHeight="1">
      <c r="A368" s="189">
        <f t="shared" si="2"/>
        <v>360</v>
      </c>
      <c r="B368" s="190">
        <f t="shared" si="3"/>
        <v>1663.944408</v>
      </c>
      <c r="C368" s="190">
        <f t="shared" si="4"/>
        <v>1671.57082</v>
      </c>
      <c r="D368" s="190">
        <f t="shared" si="5"/>
        <v>7.62641187</v>
      </c>
      <c r="E368" s="190">
        <f t="shared" si="6"/>
        <v>1663.944408</v>
      </c>
      <c r="F368" s="190">
        <f t="shared" si="1"/>
        <v>0.000000006545633369</v>
      </c>
      <c r="G368" s="191">
        <f t="shared" si="7"/>
        <v>363193.6372</v>
      </c>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row>
    <row r="369" ht="15.75" customHeight="1">
      <c r="B369" s="13">
        <f>IF(F368&gt;0,F368,"")</f>
        <v>0.000000006545633369</v>
      </c>
      <c r="G369" s="13"/>
    </row>
    <row r="370" ht="15.75" customHeight="1">
      <c r="B370" s="12" t="str">
        <f>F369</f>
        <v/>
      </c>
      <c r="G370" s="13"/>
    </row>
    <row r="371" ht="15.75" customHeight="1">
      <c r="G371" s="13"/>
    </row>
    <row r="372" ht="15.75" customHeight="1">
      <c r="G372" s="13"/>
    </row>
    <row r="373" ht="15.75" customHeight="1">
      <c r="G373" s="13"/>
    </row>
    <row r="374" ht="15.75" customHeight="1">
      <c r="C374" s="12" t="s">
        <v>124</v>
      </c>
      <c r="D374" s="12" t="s">
        <v>132</v>
      </c>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row>
    <row r="375" ht="15.75" customHeight="1">
      <c r="A375" s="203"/>
      <c r="B375" s="12">
        <v>1.0</v>
      </c>
      <c r="C375" s="13">
        <f>F9</f>
        <v>294077.7625</v>
      </c>
      <c r="D375" s="13">
        <f>IFERROR(__xludf.DUMMYFUNCTION("UNIQUE(G9:G368)"),150000.0)</f>
        <v>150000</v>
      </c>
      <c r="E375" s="12" t="s">
        <v>133</v>
      </c>
      <c r="F375" s="13">
        <f>D375</f>
        <v>150000</v>
      </c>
      <c r="G375" s="13">
        <f>D376</f>
        <v>150369.9405</v>
      </c>
      <c r="H375" s="12"/>
      <c r="I375" s="13">
        <f>D377</f>
        <v>150740.7933</v>
      </c>
      <c r="J375" s="13">
        <f>D378</f>
        <v>151112.5608</v>
      </c>
      <c r="K375" s="13">
        <f>D379</f>
        <v>151485.2451</v>
      </c>
      <c r="L375" s="13">
        <f>D380</f>
        <v>151858.8486</v>
      </c>
      <c r="M375" s="13">
        <f>D381</f>
        <v>152233.3735</v>
      </c>
      <c r="N375" s="13">
        <f>D382</f>
        <v>152608.822</v>
      </c>
      <c r="O375" s="13">
        <f>D383</f>
        <v>152985.1966</v>
      </c>
      <c r="P375" s="13">
        <f>D384</f>
        <v>153362.4993</v>
      </c>
      <c r="Q375" s="13">
        <f>D385</f>
        <v>153740.7326</v>
      </c>
      <c r="R375" s="13">
        <f>D386</f>
        <v>154119.8988</v>
      </c>
      <c r="S375" s="13">
        <f>D387</f>
        <v>154500</v>
      </c>
      <c r="T375" s="13">
        <f>D388</f>
        <v>154881.0387</v>
      </c>
      <c r="U375" s="13">
        <f>D389</f>
        <v>155263.0171</v>
      </c>
      <c r="V375" s="13">
        <f>D390</f>
        <v>155645.9376</v>
      </c>
      <c r="W375" s="13">
        <f>D391</f>
        <v>156029.8025</v>
      </c>
      <c r="X375" s="13">
        <f>D392</f>
        <v>156414.614</v>
      </c>
      <c r="Y375" s="13">
        <f>D393</f>
        <v>156800.3747</v>
      </c>
      <c r="Z375" s="13">
        <f>D394</f>
        <v>157187.0867</v>
      </c>
      <c r="AA375" s="13">
        <f>D395</f>
        <v>157574.7525</v>
      </c>
      <c r="AB375" s="13">
        <f>D396</f>
        <v>157963.3743</v>
      </c>
      <c r="AC375" s="13">
        <f>D397</f>
        <v>158352.9546</v>
      </c>
      <c r="AD375" s="13">
        <f>D398</f>
        <v>158743.4957</v>
      </c>
      <c r="AE375" s="13">
        <f>D399</f>
        <v>159135</v>
      </c>
      <c r="AF375" s="13">
        <f>D400</f>
        <v>159527.4698</v>
      </c>
      <c r="AG375" s="13">
        <f>D401</f>
        <v>159920.9076</v>
      </c>
      <c r="AH375" s="13">
        <f>D402</f>
        <v>160315.3157</v>
      </c>
      <c r="AI375" s="13">
        <f>D403</f>
        <v>160710.6965</v>
      </c>
      <c r="AJ375" s="13">
        <f>D404</f>
        <v>161107.0525</v>
      </c>
      <c r="AK375" s="13">
        <f>D405</f>
        <v>161504.3859</v>
      </c>
      <c r="AL375" s="13">
        <f>D406</f>
        <v>161902.6993</v>
      </c>
      <c r="AM375" s="12"/>
    </row>
    <row r="376" ht="15.75" customHeight="1">
      <c r="A376" s="203"/>
      <c r="B376" s="12">
        <f t="shared" ref="B376:B404" si="10">B375+1</f>
        <v>2</v>
      </c>
      <c r="C376" s="13">
        <f>F21</f>
        <v>290093.7544</v>
      </c>
      <c r="D376" s="13">
        <f>IFERROR(__xludf.DUMMYFUNCTION("""COMPUTED_VALUE"""),150369.94046584555)</f>
        <v>150369.9405</v>
      </c>
      <c r="E376" s="12" t="s">
        <v>124</v>
      </c>
      <c r="F376" s="13">
        <f>C375</f>
        <v>294077.7625</v>
      </c>
      <c r="G376" s="13">
        <f>C376</f>
        <v>290093.7544</v>
      </c>
      <c r="H376" s="12"/>
      <c r="I376" s="13">
        <f>C377</f>
        <v>285885.0169</v>
      </c>
      <c r="J376" s="13">
        <f>C378</f>
        <v>281438.8736</v>
      </c>
      <c r="K376" s="13">
        <f>C379</f>
        <v>276741.9328</v>
      </c>
      <c r="L376" s="13">
        <f>C380</f>
        <v>271780.0476</v>
      </c>
      <c r="M376" s="13">
        <f>C381</f>
        <v>266538.2731</v>
      </c>
      <c r="N376" s="13">
        <f>C382</f>
        <v>261000.8213</v>
      </c>
      <c r="O376" s="13">
        <f>C383</f>
        <v>255151.0137</v>
      </c>
      <c r="P376" s="13">
        <f>C384</f>
        <v>248971.231</v>
      </c>
      <c r="Q376" s="13">
        <f>C385</f>
        <v>242442.86</v>
      </c>
      <c r="R376" s="13">
        <f>C386</f>
        <v>235546.2375</v>
      </c>
      <c r="S376" s="13">
        <f>C387</f>
        <v>228260.5913</v>
      </c>
      <c r="T376" s="13">
        <f>C388</f>
        <v>220563.9774</v>
      </c>
      <c r="U376" s="13">
        <f>C389</f>
        <v>212433.214</v>
      </c>
      <c r="V376" s="13">
        <f>C390</f>
        <v>203843.8116</v>
      </c>
      <c r="W376" s="13">
        <f>C391</f>
        <v>194769.8994</v>
      </c>
      <c r="X376" s="13">
        <f>C392</f>
        <v>185184.1472</v>
      </c>
      <c r="Y376" s="13">
        <f>C393</f>
        <v>175057.6832</v>
      </c>
      <c r="Z376" s="13">
        <f>C394</f>
        <v>164360.0071</v>
      </c>
      <c r="AA376" s="13">
        <f>C395</f>
        <v>153058.8979</v>
      </c>
      <c r="AB376" s="13">
        <f>C396</f>
        <v>141120.3174</v>
      </c>
      <c r="AC376" s="13">
        <f>C397</f>
        <v>128508.3071</v>
      </c>
      <c r="AD376" s="13">
        <f>C398</f>
        <v>115184.8803</v>
      </c>
      <c r="AE376" s="13">
        <f>C399</f>
        <v>101109.9074</v>
      </c>
      <c r="AF376" s="13">
        <f>C400</f>
        <v>86240.9955</v>
      </c>
      <c r="AG376" s="13">
        <f>C401</f>
        <v>70533.36006</v>
      </c>
      <c r="AH376" s="13">
        <f>C402</f>
        <v>53939.69051</v>
      </c>
      <c r="AI376" s="13">
        <f>C403</f>
        <v>36410.00756</v>
      </c>
      <c r="AJ376" s="13">
        <f>C404</f>
        <v>17891.51271</v>
      </c>
    </row>
    <row r="377" ht="15.75" customHeight="1">
      <c r="A377" s="203"/>
      <c r="B377" s="12">
        <f t="shared" si="10"/>
        <v>3</v>
      </c>
      <c r="C377" s="13">
        <f>F33</f>
        <v>285885.0169</v>
      </c>
      <c r="D377" s="13">
        <f>IFERROR(__xludf.DUMMYFUNCTION("""COMPUTED_VALUE"""),150740.79330467957)</f>
        <v>150740.7933</v>
      </c>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row>
    <row r="378" ht="15.75" customHeight="1">
      <c r="A378" s="203"/>
      <c r="B378" s="12">
        <f t="shared" si="10"/>
        <v>4</v>
      </c>
      <c r="C378" s="13">
        <f>F45</f>
        <v>281438.8736</v>
      </c>
      <c r="D378" s="13">
        <f>IFERROR(__xludf.DUMMYFUNCTION("""COMPUTED_VALUE"""),151112.56076665997)</f>
        <v>151112.5608</v>
      </c>
      <c r="F378" s="13"/>
      <c r="G378" s="13"/>
      <c r="H378" s="13"/>
      <c r="I378" s="13"/>
    </row>
    <row r="379" ht="15.75" customHeight="1">
      <c r="A379" s="203"/>
      <c r="B379" s="12">
        <f t="shared" si="10"/>
        <v>5</v>
      </c>
      <c r="C379" s="13">
        <f>F57</f>
        <v>276741.9328</v>
      </c>
      <c r="D379" s="13">
        <f>IFERROR(__xludf.DUMMYFUNCTION("""COMPUTED_VALUE"""),151485.24510749418)</f>
        <v>151485.2451</v>
      </c>
      <c r="F379" s="13"/>
      <c r="G379" s="13"/>
      <c r="H379" s="13"/>
      <c r="I379" s="13"/>
    </row>
    <row r="380" ht="15.75" customHeight="1">
      <c r="A380" s="203"/>
      <c r="B380" s="12">
        <f t="shared" si="10"/>
        <v>6</v>
      </c>
      <c r="C380" s="13">
        <f>F69</f>
        <v>271780.0476</v>
      </c>
      <c r="D380" s="13">
        <f>IFERROR(__xludf.DUMMYFUNCTION("""COMPUTED_VALUE"""),151858.84858845282)</f>
        <v>151858.8486</v>
      </c>
      <c r="F380" s="13"/>
      <c r="G380" s="13"/>
      <c r="H380" s="13"/>
      <c r="I380" s="13"/>
    </row>
    <row r="381" ht="15.75" customHeight="1">
      <c r="A381" s="203"/>
      <c r="B381" s="12">
        <f t="shared" si="10"/>
        <v>7</v>
      </c>
      <c r="C381" s="13">
        <f>F81</f>
        <v>266538.2731</v>
      </c>
      <c r="D381" s="13">
        <f>IFERROR(__xludf.DUMMYFUNCTION("""COMPUTED_VALUE"""),152233.37347638336)</f>
        <v>152233.3735</v>
      </c>
      <c r="F381" s="13"/>
      <c r="G381" s="13"/>
      <c r="H381" s="13"/>
      <c r="I381" s="13"/>
    </row>
    <row r="382" ht="15.75" customHeight="1">
      <c r="A382" s="203"/>
      <c r="B382" s="12">
        <f t="shared" si="10"/>
        <v>8</v>
      </c>
      <c r="C382" s="13">
        <f>F93</f>
        <v>261000.8213</v>
      </c>
      <c r="D382" s="13">
        <f>IFERROR(__xludf.DUMMYFUNCTION("""COMPUTED_VALUE"""),152608.82204372398)</f>
        <v>152608.822</v>
      </c>
      <c r="F382" s="13"/>
      <c r="G382" s="13"/>
      <c r="H382" s="13"/>
      <c r="I382" s="13"/>
    </row>
    <row r="383" ht="15.75" customHeight="1">
      <c r="A383" s="203"/>
      <c r="B383" s="12">
        <f t="shared" si="10"/>
        <v>9</v>
      </c>
      <c r="C383" s="13">
        <f>F105</f>
        <v>255151.0137</v>
      </c>
      <c r="D383" s="13">
        <f>IFERROR(__xludf.DUMMYFUNCTION("""COMPUTED_VALUE"""),152985.19656851728)</f>
        <v>152985.1966</v>
      </c>
      <c r="F383" s="13"/>
      <c r="G383" s="13" t="s">
        <v>134</v>
      </c>
      <c r="H383" s="44"/>
      <c r="I383" s="44">
        <v>1.0</v>
      </c>
      <c r="J383" s="44">
        <f t="shared" ref="J383:AL383" si="11">I383+1</f>
        <v>2</v>
      </c>
      <c r="K383" s="44">
        <f t="shared" si="11"/>
        <v>3</v>
      </c>
      <c r="L383" s="44">
        <f t="shared" si="11"/>
        <v>4</v>
      </c>
      <c r="M383" s="44">
        <f t="shared" si="11"/>
        <v>5</v>
      </c>
      <c r="N383" s="44">
        <f t="shared" si="11"/>
        <v>6</v>
      </c>
      <c r="O383" s="44">
        <f t="shared" si="11"/>
        <v>7</v>
      </c>
      <c r="P383" s="44">
        <f t="shared" si="11"/>
        <v>8</v>
      </c>
      <c r="Q383" s="44">
        <f t="shared" si="11"/>
        <v>9</v>
      </c>
      <c r="R383" s="44">
        <f t="shared" si="11"/>
        <v>10</v>
      </c>
      <c r="S383" s="44">
        <f t="shared" si="11"/>
        <v>11</v>
      </c>
      <c r="T383" s="44">
        <f t="shared" si="11"/>
        <v>12</v>
      </c>
      <c r="U383" s="44">
        <f t="shared" si="11"/>
        <v>13</v>
      </c>
      <c r="V383" s="44">
        <f t="shared" si="11"/>
        <v>14</v>
      </c>
      <c r="W383" s="44">
        <f t="shared" si="11"/>
        <v>15</v>
      </c>
      <c r="X383" s="44">
        <f t="shared" si="11"/>
        <v>16</v>
      </c>
      <c r="Y383" s="44">
        <f t="shared" si="11"/>
        <v>17</v>
      </c>
      <c r="Z383" s="44">
        <f t="shared" si="11"/>
        <v>18</v>
      </c>
      <c r="AA383" s="44">
        <f t="shared" si="11"/>
        <v>19</v>
      </c>
      <c r="AB383" s="44">
        <f t="shared" si="11"/>
        <v>20</v>
      </c>
      <c r="AC383" s="44">
        <f t="shared" si="11"/>
        <v>21</v>
      </c>
      <c r="AD383" s="44">
        <f t="shared" si="11"/>
        <v>22</v>
      </c>
      <c r="AE383" s="44">
        <f t="shared" si="11"/>
        <v>23</v>
      </c>
      <c r="AF383" s="44">
        <f t="shared" si="11"/>
        <v>24</v>
      </c>
      <c r="AG383" s="44">
        <f t="shared" si="11"/>
        <v>25</v>
      </c>
      <c r="AH383" s="44">
        <f t="shared" si="11"/>
        <v>26</v>
      </c>
      <c r="AI383" s="44">
        <f t="shared" si="11"/>
        <v>27</v>
      </c>
      <c r="AJ383" s="44">
        <f t="shared" si="11"/>
        <v>28</v>
      </c>
      <c r="AK383" s="44">
        <f t="shared" si="11"/>
        <v>29</v>
      </c>
      <c r="AL383" s="44">
        <f t="shared" si="11"/>
        <v>30</v>
      </c>
      <c r="AM383" s="44"/>
    </row>
    <row r="384" ht="15.75" customHeight="1">
      <c r="A384" s="203"/>
      <c r="B384" s="12">
        <f t="shared" si="10"/>
        <v>10</v>
      </c>
      <c r="C384" s="13">
        <f>F117</f>
        <v>248971.231</v>
      </c>
      <c r="D384" s="13">
        <f>IFERROR(__xludf.DUMMYFUNCTION("""COMPUTED_VALUE"""),153362.49933442415)</f>
        <v>153362.4993</v>
      </c>
      <c r="F384" s="13"/>
      <c r="G384" s="44">
        <v>0.0</v>
      </c>
      <c r="H384" s="13"/>
      <c r="I384" s="13">
        <f>'Enter Data Here'!F39</f>
        <v>117000</v>
      </c>
    </row>
    <row r="385" ht="15.75" customHeight="1">
      <c r="A385" s="203"/>
      <c r="B385" s="12">
        <f t="shared" si="10"/>
        <v>11</v>
      </c>
      <c r="C385" s="13">
        <f>F129</f>
        <v>242442.86</v>
      </c>
      <c r="D385" s="13">
        <f>IFERROR(__xludf.DUMMYFUNCTION("""COMPUTED_VALUE"""),153740.7326307376)</f>
        <v>153740.7326</v>
      </c>
      <c r="F385" s="13"/>
      <c r="G385" s="44">
        <v>1.0</v>
      </c>
      <c r="H385" s="13"/>
      <c r="I385" s="13">
        <f>'Annual Data '!C26+'Annual Data '!C46</f>
        <v>-410119.4284</v>
      </c>
      <c r="J385" s="13"/>
    </row>
    <row r="386" ht="15.75" customHeight="1">
      <c r="A386" s="203"/>
      <c r="B386" s="12">
        <f t="shared" si="10"/>
        <v>12</v>
      </c>
      <c r="C386" s="13">
        <f>F141</f>
        <v>235546.2375</v>
      </c>
      <c r="D386" s="13">
        <f>IFERROR(__xludf.DUMMYFUNCTION("""COMPUTED_VALUE"""),154119.8987523966)</f>
        <v>154119.8988</v>
      </c>
      <c r="F386" s="13"/>
      <c r="G386" s="44">
        <v>2.0</v>
      </c>
      <c r="H386" s="13"/>
      <c r="I386" s="13"/>
    </row>
    <row r="387" ht="15.75" customHeight="1">
      <c r="A387" s="203"/>
      <c r="B387" s="12">
        <f t="shared" si="10"/>
        <v>13</v>
      </c>
      <c r="C387" s="13">
        <f>F153</f>
        <v>228260.5913</v>
      </c>
      <c r="D387" s="13">
        <f>IFERROR(__xludf.DUMMYFUNCTION("""COMPUTED_VALUE"""),154500.00000000015)</f>
        <v>154500</v>
      </c>
      <c r="F387" s="13"/>
      <c r="G387" s="44">
        <v>3.0</v>
      </c>
      <c r="H387" s="13"/>
      <c r="I387" s="13"/>
    </row>
    <row r="388" ht="15.75" customHeight="1">
      <c r="A388" s="203"/>
      <c r="B388" s="12">
        <f t="shared" si="10"/>
        <v>14</v>
      </c>
      <c r="C388" s="13">
        <f>F165</f>
        <v>220563.9774</v>
      </c>
      <c r="D388" s="13">
        <f>IFERROR(__xludf.DUMMYFUNCTION("""COMPUTED_VALUE"""),154881.03867982107)</f>
        <v>154881.0387</v>
      </c>
      <c r="F388" s="13"/>
      <c r="G388" s="44">
        <v>4.0</v>
      </c>
      <c r="H388" s="13"/>
      <c r="I388" s="13"/>
    </row>
    <row r="389" ht="15.75" customHeight="1">
      <c r="A389" s="203"/>
      <c r="B389" s="12">
        <f t="shared" si="10"/>
        <v>15</v>
      </c>
      <c r="C389" s="13">
        <f>F177</f>
        <v>212433.214</v>
      </c>
      <c r="D389" s="13">
        <f>IFERROR(__xludf.DUMMYFUNCTION("""COMPUTED_VALUE"""),155263.0171038201)</f>
        <v>155263.0171</v>
      </c>
      <c r="F389" s="13"/>
      <c r="G389" s="44">
        <v>5.0</v>
      </c>
      <c r="H389" s="13"/>
      <c r="I389" s="13"/>
    </row>
    <row r="390" ht="15.75" customHeight="1">
      <c r="A390" s="203"/>
      <c r="B390" s="12">
        <f t="shared" si="10"/>
        <v>16</v>
      </c>
      <c r="C390" s="13">
        <f>F189</f>
        <v>203843.8116</v>
      </c>
      <c r="D390" s="13">
        <f>IFERROR(__xludf.DUMMYFUNCTION("""COMPUTED_VALUE"""),155645.93758965994)</f>
        <v>155645.9376</v>
      </c>
      <c r="F390" s="13"/>
      <c r="G390" s="44">
        <f t="shared" ref="G390:G436" si="12">G389+1</f>
        <v>6</v>
      </c>
      <c r="H390" s="13"/>
      <c r="I390" s="13"/>
    </row>
    <row r="391" ht="15.75" customHeight="1">
      <c r="A391" s="203"/>
      <c r="B391" s="12">
        <f t="shared" si="10"/>
        <v>17</v>
      </c>
      <c r="C391" s="13">
        <f>F201</f>
        <v>194769.8994</v>
      </c>
      <c r="D391" s="13">
        <f>IFERROR(__xludf.DUMMYFUNCTION("""COMPUTED_VALUE"""),156029.8024607192)</f>
        <v>156029.8025</v>
      </c>
      <c r="F391" s="13"/>
      <c r="G391" s="44">
        <f t="shared" si="12"/>
        <v>7</v>
      </c>
      <c r="H391" s="13"/>
      <c r="I391" s="13"/>
    </row>
    <row r="392" ht="15.75" customHeight="1">
      <c r="A392" s="203"/>
      <c r="B392" s="12">
        <f t="shared" si="10"/>
        <v>18</v>
      </c>
      <c r="C392" s="13">
        <f>F213</f>
        <v>185184.1472</v>
      </c>
      <c r="D392" s="13">
        <f>IFERROR(__xludf.DUMMYFUNCTION("""COMPUTED_VALUE"""),156414.61404610658)</f>
        <v>156414.614</v>
      </c>
      <c r="F392" s="13"/>
      <c r="G392" s="44">
        <f t="shared" si="12"/>
        <v>8</v>
      </c>
      <c r="H392" s="13"/>
      <c r="I392" s="13"/>
    </row>
    <row r="393" ht="15.75" customHeight="1">
      <c r="A393" s="203"/>
      <c r="B393" s="12">
        <f t="shared" si="10"/>
        <v>19</v>
      </c>
      <c r="C393" s="13">
        <f>F225</f>
        <v>175057.6832</v>
      </c>
      <c r="D393" s="13">
        <f>IFERROR(__xludf.DUMMYFUNCTION("""COMPUTED_VALUE"""),156800.37468067504)</f>
        <v>156800.3747</v>
      </c>
      <c r="F393" s="13"/>
      <c r="G393" s="44">
        <f t="shared" si="12"/>
        <v>9</v>
      </c>
      <c r="H393" s="13"/>
      <c r="I393" s="13"/>
    </row>
    <row r="394" ht="15.75" customHeight="1">
      <c r="A394" s="203"/>
      <c r="B394" s="12">
        <f t="shared" si="10"/>
        <v>20</v>
      </c>
      <c r="C394" s="13">
        <f>F237</f>
        <v>164360.0071</v>
      </c>
      <c r="D394" s="13">
        <f>IFERROR(__xludf.DUMMYFUNCTION("""COMPUTED_VALUE"""),157187.08670503588)</f>
        <v>157187.0867</v>
      </c>
      <c r="F394" s="13"/>
      <c r="G394" s="44">
        <f t="shared" si="12"/>
        <v>10</v>
      </c>
      <c r="H394" s="13"/>
      <c r="I394" s="13"/>
    </row>
    <row r="395" ht="15.75" customHeight="1">
      <c r="A395" s="203"/>
      <c r="B395" s="12">
        <f t="shared" si="10"/>
        <v>21</v>
      </c>
      <c r="C395" s="13">
        <f>F249</f>
        <v>153058.8979</v>
      </c>
      <c r="D395" s="13">
        <f>IFERROR(__xludf.DUMMYFUNCTION("""COMPUTED_VALUE"""),157574.752465573)</f>
        <v>157574.7525</v>
      </c>
      <c r="F395" s="13"/>
      <c r="G395" s="44">
        <f t="shared" si="12"/>
        <v>11</v>
      </c>
      <c r="H395" s="13"/>
      <c r="I395" s="13"/>
    </row>
    <row r="396" ht="15.75" customHeight="1">
      <c r="A396" s="203"/>
      <c r="B396" s="12">
        <f t="shared" si="10"/>
        <v>22</v>
      </c>
      <c r="C396" s="13">
        <f>F261</f>
        <v>141120.3174</v>
      </c>
      <c r="D396" s="13">
        <f>IFERROR(__xludf.DUMMYFUNCTION("""COMPUTED_VALUE"""),157963.37431445706)</f>
        <v>157963.3743</v>
      </c>
      <c r="F396" s="13"/>
      <c r="G396" s="44">
        <f t="shared" si="12"/>
        <v>12</v>
      </c>
      <c r="H396" s="13"/>
      <c r="I396" s="13"/>
    </row>
    <row r="397" ht="15.75" customHeight="1">
      <c r="A397" s="203"/>
      <c r="B397" s="12">
        <f t="shared" si="10"/>
        <v>23</v>
      </c>
      <c r="C397" s="13">
        <f>F273</f>
        <v>128508.3071</v>
      </c>
      <c r="D397" s="13">
        <f>IFERROR(__xludf.DUMMYFUNCTION("""COMPUTED_VALUE"""),158352.9546096599)</f>
        <v>158352.9546</v>
      </c>
      <c r="F397" s="13"/>
      <c r="G397" s="44">
        <f t="shared" si="12"/>
        <v>13</v>
      </c>
      <c r="H397" s="13"/>
      <c r="I397" s="13"/>
    </row>
    <row r="398" ht="15.75" customHeight="1">
      <c r="A398" s="203"/>
      <c r="B398" s="12">
        <f t="shared" si="10"/>
        <v>24</v>
      </c>
      <c r="C398" s="13">
        <f>F285</f>
        <v>115184.8803</v>
      </c>
      <c r="D398" s="13">
        <f>IFERROR(__xludf.DUMMYFUNCTION("""COMPUTED_VALUE"""),158743.49571496868)</f>
        <v>158743.4957</v>
      </c>
      <c r="F398" s="13"/>
      <c r="G398" s="44">
        <f t="shared" si="12"/>
        <v>14</v>
      </c>
      <c r="H398" s="13"/>
      <c r="I398" s="13"/>
    </row>
    <row r="399" ht="15.75" customHeight="1">
      <c r="A399" s="203"/>
      <c r="B399" s="12">
        <f t="shared" si="10"/>
        <v>25</v>
      </c>
      <c r="C399" s="13">
        <f>F297</f>
        <v>101109.9074</v>
      </c>
      <c r="D399" s="13">
        <f>IFERROR(__xludf.DUMMYFUNCTION("""COMPUTED_VALUE"""),159135.00000000032)</f>
        <v>159135</v>
      </c>
      <c r="F399" s="13"/>
      <c r="G399" s="44">
        <f t="shared" si="12"/>
        <v>15</v>
      </c>
      <c r="H399" s="13"/>
      <c r="I399" s="13"/>
    </row>
    <row r="400" ht="15.75" customHeight="1">
      <c r="A400" s="203"/>
      <c r="B400" s="12">
        <f t="shared" si="10"/>
        <v>26</v>
      </c>
      <c r="C400" s="13">
        <f>F309</f>
        <v>86240.9955</v>
      </c>
      <c r="D400" s="13">
        <f>IFERROR(__xludf.DUMMYFUNCTION("""COMPUTED_VALUE"""),159527.46984021587)</f>
        <v>159527.4698</v>
      </c>
      <c r="F400" s="13"/>
      <c r="G400" s="44">
        <f t="shared" si="12"/>
        <v>16</v>
      </c>
      <c r="H400" s="13"/>
      <c r="I400" s="13"/>
    </row>
    <row r="401" ht="15.75" customHeight="1">
      <c r="A401" s="203"/>
      <c r="B401" s="12">
        <f t="shared" si="10"/>
        <v>27</v>
      </c>
      <c r="C401" s="13">
        <f>F321</f>
        <v>70533.36006</v>
      </c>
      <c r="D401" s="13">
        <f>IFERROR(__xludf.DUMMYFUNCTION("""COMPUTED_VALUE"""),159920.90761693488)</f>
        <v>159920.9076</v>
      </c>
      <c r="F401" s="13"/>
      <c r="G401" s="44">
        <f t="shared" si="12"/>
        <v>17</v>
      </c>
      <c r="H401" s="13"/>
      <c r="I401" s="13"/>
    </row>
    <row r="402" ht="15.75" customHeight="1">
      <c r="A402" s="203"/>
      <c r="B402" s="12">
        <f t="shared" si="10"/>
        <v>28</v>
      </c>
      <c r="C402" s="13">
        <f>F333</f>
        <v>53939.69051</v>
      </c>
      <c r="D402" s="13">
        <f>IFERROR(__xludf.DUMMYFUNCTION("""COMPUTED_VALUE"""),160315.3157173499)</f>
        <v>160315.3157</v>
      </c>
      <c r="F402" s="13"/>
      <c r="G402" s="44">
        <f t="shared" si="12"/>
        <v>18</v>
      </c>
      <c r="H402" s="13"/>
      <c r="I402" s="13"/>
    </row>
    <row r="403" ht="15.75" customHeight="1">
      <c r="A403" s="203"/>
      <c r="B403" s="12">
        <f t="shared" si="10"/>
        <v>29</v>
      </c>
      <c r="C403" s="13">
        <f>F345</f>
        <v>36410.00756</v>
      </c>
      <c r="D403" s="13">
        <f>IFERROR(__xludf.DUMMYFUNCTION("""COMPUTED_VALUE"""),160710.69653454094)</f>
        <v>160710.6965</v>
      </c>
      <c r="F403" s="13"/>
      <c r="G403" s="44">
        <f t="shared" si="12"/>
        <v>19</v>
      </c>
      <c r="H403" s="13"/>
      <c r="I403" s="13"/>
    </row>
    <row r="404" ht="15.75" customHeight="1">
      <c r="A404" s="203"/>
      <c r="B404" s="12">
        <f t="shared" si="10"/>
        <v>30</v>
      </c>
      <c r="C404" s="13">
        <f>F357</f>
        <v>17891.51271</v>
      </c>
      <c r="D404" s="13">
        <f>IFERROR(__xludf.DUMMYFUNCTION("""COMPUTED_VALUE"""),161107.05246748996)</f>
        <v>161107.0525</v>
      </c>
      <c r="F404" s="13"/>
      <c r="G404" s="44">
        <f t="shared" si="12"/>
        <v>20</v>
      </c>
      <c r="H404" s="13"/>
      <c r="I404" s="13"/>
    </row>
    <row r="405" ht="15.75" customHeight="1">
      <c r="A405" s="203"/>
      <c r="B405" s="12">
        <v>31.0</v>
      </c>
      <c r="C405" s="13">
        <f>F368</f>
        <v>0.000000006545633369</v>
      </c>
      <c r="D405" s="13">
        <f>IFERROR(__xludf.DUMMYFUNCTION("""COMPUTED_VALUE"""),161504.38592109547)</f>
        <v>161504.3859</v>
      </c>
      <c r="G405" s="44">
        <f t="shared" si="12"/>
        <v>21</v>
      </c>
    </row>
    <row r="406" ht="15.75" customHeight="1">
      <c r="D406" s="13">
        <f>IFERROR(__xludf.DUMMYFUNCTION("""COMPUTED_VALUE"""),161902.69930618713)</f>
        <v>161902.6993</v>
      </c>
      <c r="G406" s="44">
        <f t="shared" si="12"/>
        <v>22</v>
      </c>
    </row>
    <row r="407" ht="15.75" customHeight="1">
      <c r="D407" s="13">
        <f>IFERROR(__xludf.DUMMYFUNCTION("""COMPUTED_VALUE"""),162301.99503954034)</f>
        <v>162301.995</v>
      </c>
      <c r="G407" s="44">
        <f t="shared" si="12"/>
        <v>23</v>
      </c>
    </row>
    <row r="408" ht="15.75" customHeight="1">
      <c r="D408" s="13">
        <f>IFERROR(__xludf.DUMMYFUNCTION("""COMPUTED_VALUE"""),162702.27554389095)</f>
        <v>162702.2755</v>
      </c>
      <c r="G408" s="44">
        <f t="shared" si="12"/>
        <v>24</v>
      </c>
    </row>
    <row r="409" ht="15.75" customHeight="1">
      <c r="D409" s="13">
        <f>IFERROR(__xludf.DUMMYFUNCTION("""COMPUTED_VALUE"""),163103.54324794988)</f>
        <v>163103.5432</v>
      </c>
      <c r="G409" s="44">
        <f t="shared" si="12"/>
        <v>25</v>
      </c>
    </row>
    <row r="410" ht="15.75" customHeight="1">
      <c r="D410" s="13">
        <f>IFERROR(__xludf.DUMMYFUNCTION("""COMPUTED_VALUE"""),163505.80058641793)</f>
        <v>163505.8006</v>
      </c>
      <c r="G410" s="44">
        <f t="shared" si="12"/>
        <v>26</v>
      </c>
    </row>
    <row r="411" ht="15.75" customHeight="1">
      <c r="D411" s="13">
        <f>IFERROR(__xludf.DUMMYFUNCTION("""COMPUTED_VALUE"""),163909.0500000005)</f>
        <v>163909.05</v>
      </c>
      <c r="G411" s="44">
        <f t="shared" si="12"/>
        <v>27</v>
      </c>
    </row>
    <row r="412" ht="15.75" customHeight="1">
      <c r="D412" s="13">
        <f>IFERROR(__xludf.DUMMYFUNCTION("""COMPUTED_VALUE"""),164313.29393542252)</f>
        <v>164313.2939</v>
      </c>
      <c r="G412" s="44">
        <f t="shared" si="12"/>
        <v>28</v>
      </c>
    </row>
    <row r="413" ht="15.75" customHeight="1">
      <c r="D413" s="13">
        <f>IFERROR(__xludf.DUMMYFUNCTION("""COMPUTED_VALUE"""),164718.5348454431)</f>
        <v>164718.5348</v>
      </c>
      <c r="G413" s="44">
        <f t="shared" si="12"/>
        <v>29</v>
      </c>
    </row>
    <row r="414" ht="15.75" customHeight="1">
      <c r="D414" s="13">
        <f>IFERROR(__xludf.DUMMYFUNCTION("""COMPUTED_VALUE"""),165124.77518887055)</f>
        <v>165124.7752</v>
      </c>
      <c r="G414" s="44">
        <f t="shared" si="12"/>
        <v>30</v>
      </c>
    </row>
    <row r="415" ht="15.75" customHeight="1">
      <c r="D415" s="13">
        <f>IFERROR(__xludf.DUMMYFUNCTION("""COMPUTED_VALUE"""),165532.0174305773)</f>
        <v>165532.0174</v>
      </c>
      <c r="G415" s="44">
        <f t="shared" si="12"/>
        <v>31</v>
      </c>
    </row>
    <row r="416" ht="15.75" customHeight="1">
      <c r="D416" s="13">
        <f>IFERROR(__xludf.DUMMYFUNCTION("""COMPUTED_VALUE"""),165940.26404151478)</f>
        <v>165940.264</v>
      </c>
      <c r="G416" s="44">
        <f t="shared" si="12"/>
        <v>32</v>
      </c>
    </row>
    <row r="417" ht="15.75" customHeight="1">
      <c r="D417" s="13">
        <f>IFERROR(__xludf.DUMMYFUNCTION("""COMPUTED_VALUE"""),166349.51749872847)</f>
        <v>166349.5175</v>
      </c>
      <c r="G417" s="44">
        <f t="shared" si="12"/>
        <v>33</v>
      </c>
    </row>
    <row r="418" ht="15.75" customHeight="1">
      <c r="D418" s="13">
        <f>IFERROR(__xludf.DUMMYFUNCTION("""COMPUTED_VALUE"""),166759.7802853729)</f>
        <v>166759.7803</v>
      </c>
      <c r="G418" s="44">
        <f t="shared" si="12"/>
        <v>34</v>
      </c>
    </row>
    <row r="419" ht="15.75" customHeight="1">
      <c r="D419" s="13">
        <f>IFERROR(__xludf.DUMMYFUNCTION("""COMPUTED_VALUE"""),167171.05489072672)</f>
        <v>167171.0549</v>
      </c>
      <c r="G419" s="44">
        <f t="shared" si="12"/>
        <v>35</v>
      </c>
    </row>
    <row r="420" ht="15.75" customHeight="1">
      <c r="D420" s="13">
        <f>IFERROR(__xludf.DUMMYFUNCTION("""COMPUTED_VALUE"""),167583.34381020785)</f>
        <v>167583.3438</v>
      </c>
      <c r="G420" s="44">
        <f t="shared" si="12"/>
        <v>36</v>
      </c>
    </row>
    <row r="421" ht="15.75" customHeight="1">
      <c r="D421" s="13">
        <f>IFERROR(__xludf.DUMMYFUNCTION("""COMPUTED_VALUE"""),167996.64954538853)</f>
        <v>167996.6495</v>
      </c>
      <c r="G421" s="44">
        <f t="shared" si="12"/>
        <v>37</v>
      </c>
    </row>
    <row r="422" ht="15.75" customHeight="1">
      <c r="D422" s="13">
        <f>IFERROR(__xludf.DUMMYFUNCTION("""COMPUTED_VALUE"""),168410.9746040106)</f>
        <v>168410.9746</v>
      </c>
      <c r="G422" s="44">
        <f t="shared" si="12"/>
        <v>38</v>
      </c>
    </row>
    <row r="423" ht="15.75" customHeight="1">
      <c r="D423" s="13">
        <f>IFERROR(__xludf.DUMMYFUNCTION("""COMPUTED_VALUE"""),168826.3215000007)</f>
        <v>168826.3215</v>
      </c>
      <c r="G423" s="44">
        <f t="shared" si="12"/>
        <v>39</v>
      </c>
    </row>
    <row r="424" ht="15.75" customHeight="1">
      <c r="D424" s="13">
        <f>IFERROR(__xludf.DUMMYFUNCTION("""COMPUTED_VALUE"""),169242.69275348537)</f>
        <v>169242.6928</v>
      </c>
      <c r="G424" s="44">
        <f t="shared" si="12"/>
        <v>40</v>
      </c>
    </row>
    <row r="425" ht="15.75" customHeight="1">
      <c r="D425" s="13">
        <f>IFERROR(__xludf.DUMMYFUNCTION("""COMPUTED_VALUE"""),169660.09089080658)</f>
        <v>169660.0909</v>
      </c>
      <c r="G425" s="44">
        <f t="shared" si="12"/>
        <v>41</v>
      </c>
    </row>
    <row r="426" ht="15.75" customHeight="1">
      <c r="D426" s="13">
        <f>IFERROR(__xludf.DUMMYFUNCTION("""COMPUTED_VALUE"""),170078.51844453686)</f>
        <v>170078.5184</v>
      </c>
      <c r="G426" s="44">
        <f t="shared" si="12"/>
        <v>42</v>
      </c>
    </row>
    <row r="427" ht="15.75" customHeight="1">
      <c r="D427" s="13">
        <f>IFERROR(__xludf.DUMMYFUNCTION("""COMPUTED_VALUE"""),170497.97795349482)</f>
        <v>170497.978</v>
      </c>
      <c r="G427" s="44">
        <f t="shared" si="12"/>
        <v>43</v>
      </c>
    </row>
    <row r="428" ht="15.75" customHeight="1">
      <c r="D428" s="13">
        <f>IFERROR(__xludf.DUMMYFUNCTION("""COMPUTED_VALUE"""),170918.47196276044)</f>
        <v>170918.472</v>
      </c>
      <c r="G428" s="44">
        <f t="shared" si="12"/>
        <v>44</v>
      </c>
    </row>
    <row r="429" ht="15.75" customHeight="1">
      <c r="D429" s="13">
        <f>IFERROR(__xludf.DUMMYFUNCTION("""COMPUTED_VALUE"""),171340.00302369051)</f>
        <v>171340.003</v>
      </c>
      <c r="G429" s="44">
        <f t="shared" si="12"/>
        <v>45</v>
      </c>
    </row>
    <row r="430" ht="15.75" customHeight="1">
      <c r="D430" s="13">
        <f>IFERROR(__xludf.DUMMYFUNCTION("""COMPUTED_VALUE"""),171762.57369393428)</f>
        <v>171762.5737</v>
      </c>
      <c r="G430" s="44">
        <f t="shared" si="12"/>
        <v>46</v>
      </c>
    </row>
    <row r="431" ht="15.75" customHeight="1">
      <c r="D431" s="13">
        <f>IFERROR(__xludf.DUMMYFUNCTION("""COMPUTED_VALUE"""),172186.1865374487)</f>
        <v>172186.1865</v>
      </c>
      <c r="G431" s="44">
        <f t="shared" si="12"/>
        <v>47</v>
      </c>
    </row>
    <row r="432" ht="15.75" customHeight="1">
      <c r="D432" s="13">
        <f>IFERROR(__xludf.DUMMYFUNCTION("""COMPUTED_VALUE"""),172610.84412451426)</f>
        <v>172610.8441</v>
      </c>
      <c r="G432" s="44">
        <f t="shared" si="12"/>
        <v>48</v>
      </c>
    </row>
    <row r="433" ht="15.75" customHeight="1">
      <c r="D433" s="13">
        <f>IFERROR(__xludf.DUMMYFUNCTION("""COMPUTED_VALUE"""),173036.5490317504)</f>
        <v>173036.549</v>
      </c>
      <c r="G433" s="44">
        <f t="shared" si="12"/>
        <v>49</v>
      </c>
    </row>
    <row r="434" ht="15.75" customHeight="1">
      <c r="D434" s="13">
        <f>IFERROR(__xludf.DUMMYFUNCTION("""COMPUTED_VALUE"""),173463.30384213114)</f>
        <v>173463.3038</v>
      </c>
      <c r="G434" s="44">
        <f t="shared" si="12"/>
        <v>50</v>
      </c>
    </row>
    <row r="435" ht="15.75" customHeight="1">
      <c r="D435" s="13">
        <f>IFERROR(__xludf.DUMMYFUNCTION("""COMPUTED_VALUE"""),173891.1111450009)</f>
        <v>173891.1111</v>
      </c>
      <c r="G435" s="44">
        <f t="shared" si="12"/>
        <v>51</v>
      </c>
    </row>
    <row r="436" ht="15.75" customHeight="1">
      <c r="D436" s="13">
        <f>IFERROR(__xludf.DUMMYFUNCTION("""COMPUTED_VALUE"""),174319.9735360901)</f>
        <v>174319.9735</v>
      </c>
      <c r="G436" s="44">
        <f t="shared" si="12"/>
        <v>52</v>
      </c>
    </row>
    <row r="437" ht="15.75" customHeight="1">
      <c r="D437" s="13">
        <f>IFERROR(__xludf.DUMMYFUNCTION("""COMPUTED_VALUE"""),174749.89361753094)</f>
        <v>174749.8936</v>
      </c>
      <c r="G437" s="44"/>
    </row>
    <row r="438" ht="15.75" customHeight="1">
      <c r="D438" s="13">
        <f>IFERROR(__xludf.DUMMYFUNCTION("""COMPUTED_VALUE"""),175180.87399787313)</f>
        <v>175180.874</v>
      </c>
      <c r="G438" s="44"/>
    </row>
    <row r="439" ht="15.75" customHeight="1">
      <c r="D439" s="13">
        <f>IFERROR(__xludf.DUMMYFUNCTION("""COMPUTED_VALUE"""),175612.91729209982)</f>
        <v>175612.9173</v>
      </c>
      <c r="G439" s="44"/>
    </row>
    <row r="440" ht="15.75" customHeight="1">
      <c r="D440" s="13">
        <f>IFERROR(__xludf.DUMMYFUNCTION("""COMPUTED_VALUE"""),176046.0261216434)</f>
        <v>176046.0261</v>
      </c>
      <c r="G440" s="44"/>
    </row>
    <row r="441" ht="15.75" customHeight="1">
      <c r="D441" s="13">
        <f>IFERROR(__xludf.DUMMYFUNCTION("""COMPUTED_VALUE"""),176480.2031144014)</f>
        <v>176480.2031</v>
      </c>
      <c r="G441" s="44"/>
    </row>
    <row r="442" ht="15.75" customHeight="1">
      <c r="D442" s="13">
        <f>IFERROR(__xludf.DUMMYFUNCTION("""COMPUTED_VALUE"""),176915.45090475248)</f>
        <v>176915.4509</v>
      </c>
      <c r="G442" s="44"/>
    </row>
    <row r="443" ht="15.75" customHeight="1">
      <c r="D443" s="13">
        <f>IFERROR(__xludf.DUMMYFUNCTION("""COMPUTED_VALUE"""),177351.77213357235)</f>
        <v>177351.7721</v>
      </c>
      <c r="G443" s="44"/>
    </row>
    <row r="444" ht="15.75" customHeight="1">
      <c r="D444" s="13">
        <f>IFERROR(__xludf.DUMMYFUNCTION("""COMPUTED_VALUE"""),177789.16944824986)</f>
        <v>177789.1694</v>
      </c>
      <c r="G444" s="44"/>
    </row>
    <row r="445" ht="15.75" customHeight="1">
      <c r="D445" s="13">
        <f>IFERROR(__xludf.DUMMYFUNCTION("""COMPUTED_VALUE"""),178227.64550270306)</f>
        <v>178227.6455</v>
      </c>
      <c r="G445" s="44"/>
    </row>
    <row r="446" ht="15.75" customHeight="1">
      <c r="D446" s="13">
        <f>IFERROR(__xludf.DUMMYFUNCTION("""COMPUTED_VALUE"""),178667.20295739523)</f>
        <v>178667.203</v>
      </c>
      <c r="G446" s="44"/>
    </row>
    <row r="447" ht="15.75" customHeight="1">
      <c r="D447" s="13">
        <f>IFERROR(__xludf.DUMMYFUNCTION("""COMPUTED_VALUE"""),179107.8444793511)</f>
        <v>179107.8445</v>
      </c>
      <c r="G447" s="44"/>
    </row>
    <row r="448" ht="15.75" customHeight="1">
      <c r="D448" s="13">
        <f>IFERROR(__xludf.DUMMYFUNCTION("""COMPUTED_VALUE"""),179549.57274217298)</f>
        <v>179549.5727</v>
      </c>
      <c r="G448" s="44"/>
    </row>
    <row r="449" ht="15.75" customHeight="1">
      <c r="D449" s="13">
        <f>IFERROR(__xludf.DUMMYFUNCTION("""COMPUTED_VALUE"""),179992.39042605704)</f>
        <v>179992.3904</v>
      </c>
      <c r="G449" s="44"/>
    </row>
    <row r="450" ht="15.75" customHeight="1">
      <c r="D450" s="13">
        <f>IFERROR(__xludf.DUMMYFUNCTION("""COMPUTED_VALUE"""),180436.3002178095)</f>
        <v>180436.3002</v>
      </c>
      <c r="G450" s="44"/>
    </row>
    <row r="451" ht="15.75" customHeight="1">
      <c r="D451" s="13">
        <f>IFERROR(__xludf.DUMMYFUNCTION("""COMPUTED_VALUE"""),180881.304810863)</f>
        <v>180881.3048</v>
      </c>
      <c r="G451" s="44"/>
    </row>
    <row r="452" ht="15.75" customHeight="1">
      <c r="D452" s="13">
        <f>IFERROR(__xludf.DUMMYFUNCTION("""COMPUTED_VALUE"""),181327.40690529288)</f>
        <v>181327.4069</v>
      </c>
      <c r="G452" s="44"/>
    </row>
    <row r="453" ht="15.75" customHeight="1">
      <c r="D453" s="13">
        <f>IFERROR(__xludf.DUMMYFUNCTION("""COMPUTED_VALUE"""),181774.60920783362)</f>
        <v>181774.6092</v>
      </c>
      <c r="G453" s="44"/>
    </row>
    <row r="454" ht="15.75" customHeight="1">
      <c r="D454" s="13">
        <f>IFERROR(__xludf.DUMMYFUNCTION("""COMPUTED_VALUE"""),182222.91443189522)</f>
        <v>182222.9144</v>
      </c>
      <c r="G454" s="44"/>
    </row>
    <row r="455" ht="15.75" customHeight="1">
      <c r="D455" s="13">
        <f>IFERROR(__xludf.DUMMYFUNCTION("""COMPUTED_VALUE"""),182672.3252975797)</f>
        <v>182672.3253</v>
      </c>
      <c r="G455" s="44"/>
    </row>
    <row r="456" ht="15.75" customHeight="1">
      <c r="D456" s="13">
        <f>IFERROR(__xludf.DUMMYFUNCTION("""COMPUTED_VALUE"""),183122.84453169754)</f>
        <v>183122.8445</v>
      </c>
      <c r="G456" s="44"/>
    </row>
    <row r="457" ht="15.75" customHeight="1">
      <c r="D457" s="13">
        <f>IFERROR(__xludf.DUMMYFUNCTION("""COMPUTED_VALUE"""),183574.47486778433)</f>
        <v>183574.4749</v>
      </c>
      <c r="G457" s="44"/>
    </row>
    <row r="458" ht="15.75" customHeight="1">
      <c r="D458" s="13">
        <f>IFERROR(__xludf.DUMMYFUNCTION("""COMPUTED_VALUE"""),184027.21904611727)</f>
        <v>184027.219</v>
      </c>
      <c r="G458" s="44"/>
    </row>
    <row r="459" ht="15.75" customHeight="1">
      <c r="D459" s="13">
        <f>IFERROR(__xludf.DUMMYFUNCTION("""COMPUTED_VALUE"""),184481.07981373183)</f>
        <v>184481.0798</v>
      </c>
      <c r="G459" s="13"/>
    </row>
    <row r="460" ht="15.75" customHeight="1">
      <c r="D460" s="13">
        <f>IFERROR(__xludf.DUMMYFUNCTION("""COMPUTED_VALUE"""),184936.0599244384)</f>
        <v>184936.0599</v>
      </c>
      <c r="G460" s="13"/>
    </row>
    <row r="461" ht="15.75" customHeight="1">
      <c r="D461" s="13">
        <f>IFERROR(__xludf.DUMMYFUNCTION("""COMPUTED_VALUE"""),185392.162138839)</f>
        <v>185392.1621</v>
      </c>
      <c r="G461" s="13"/>
    </row>
    <row r="462" ht="15.75" customHeight="1">
      <c r="D462" s="13">
        <f>IFERROR(__xludf.DUMMYFUNCTION("""COMPUTED_VALUE"""),185849.38922434402)</f>
        <v>185849.3892</v>
      </c>
      <c r="G462" s="13"/>
    </row>
    <row r="463" ht="15.75" customHeight="1">
      <c r="D463" s="13">
        <f>IFERROR(__xludf.DUMMYFUNCTION("""COMPUTED_VALUE"""),186307.74395518913)</f>
        <v>186307.744</v>
      </c>
      <c r="G463" s="13"/>
    </row>
    <row r="464" ht="15.75" customHeight="1">
      <c r="D464" s="13">
        <f>IFERROR(__xludf.DUMMYFUNCTION("""COMPUTED_VALUE"""),186767.2291124519)</f>
        <v>186767.2291</v>
      </c>
      <c r="G464" s="13"/>
    </row>
    <row r="465" ht="15.75" customHeight="1">
      <c r="D465" s="13">
        <f>IFERROR(__xludf.DUMMYFUNCTION("""COMPUTED_VALUE"""),187227.84748406886)</f>
        <v>187227.8475</v>
      </c>
      <c r="G465" s="13"/>
    </row>
    <row r="466" ht="15.75" customHeight="1">
      <c r="D466" s="13">
        <f>IFERROR(__xludf.DUMMYFUNCTION("""COMPUTED_VALUE"""),187689.6018648523)</f>
        <v>187689.6019</v>
      </c>
      <c r="G466" s="13"/>
    </row>
    <row r="467" ht="15.75" customHeight="1">
      <c r="D467" s="13">
        <f>IFERROR(__xludf.DUMMYFUNCTION("""COMPUTED_VALUE"""),188152.4950565073)</f>
        <v>188152.4951</v>
      </c>
      <c r="G467" s="13"/>
    </row>
    <row r="468" ht="15.75" customHeight="1">
      <c r="D468" s="13">
        <f>IFERROR(__xludf.DUMMYFUNCTION("""COMPUTED_VALUE"""),188616.52986764867)</f>
        <v>188616.5299</v>
      </c>
      <c r="G468" s="13"/>
    </row>
    <row r="469" ht="15.75" customHeight="1">
      <c r="D469" s="13">
        <f>IFERROR(__xludf.DUMMYFUNCTION("""COMPUTED_VALUE"""),189081.70911381807)</f>
        <v>189081.7091</v>
      </c>
      <c r="G469" s="13"/>
    </row>
    <row r="470" ht="15.75" customHeight="1">
      <c r="D470" s="13">
        <f>IFERROR(__xludf.DUMMYFUNCTION("""COMPUTED_VALUE"""),189548.035617501)</f>
        <v>189548.0356</v>
      </c>
      <c r="G470" s="13"/>
    </row>
    <row r="471" ht="15.75" customHeight="1">
      <c r="D471" s="13">
        <f>IFERROR(__xludf.DUMMYFUNCTION("""COMPUTED_VALUE"""),190015.512208144)</f>
        <v>190015.5122</v>
      </c>
      <c r="G471" s="13"/>
    </row>
    <row r="472" ht="15.75" customHeight="1">
      <c r="D472" s="13">
        <f>IFERROR(__xludf.DUMMYFUNCTION("""COMPUTED_VALUE"""),190484.14172217174)</f>
        <v>190484.1417</v>
      </c>
      <c r="G472" s="13"/>
    </row>
    <row r="473" ht="15.75" customHeight="1">
      <c r="D473" s="13">
        <f>IFERROR(__xludf.DUMMYFUNCTION("""COMPUTED_VALUE"""),190953.92700300436)</f>
        <v>190953.927</v>
      </c>
      <c r="G473" s="13"/>
    </row>
    <row r="474" ht="15.75" customHeight="1">
      <c r="D474" s="13">
        <f>IFERROR(__xludf.DUMMYFUNCTION("""COMPUTED_VALUE"""),191424.87090107455)</f>
        <v>191424.8709</v>
      </c>
      <c r="G474" s="13"/>
    </row>
    <row r="475" ht="15.75" customHeight="1">
      <c r="D475" s="13">
        <f>IFERROR(__xludf.DUMMYFUNCTION("""COMPUTED_VALUE"""),191896.976273845)</f>
        <v>191896.9763</v>
      </c>
      <c r="G475" s="13"/>
    </row>
    <row r="476" ht="15.75" customHeight="1">
      <c r="D476" s="13">
        <f>IFERROR(__xludf.DUMMYFUNCTION("""COMPUTED_VALUE"""),192370.24598582566)</f>
        <v>192370.246</v>
      </c>
      <c r="G476" s="13"/>
    </row>
    <row r="477" ht="15.75" customHeight="1">
      <c r="D477" s="13">
        <f>IFERROR(__xludf.DUMMYFUNCTION("""COMPUTED_VALUE"""),192844.68290859112)</f>
        <v>192844.6829</v>
      </c>
      <c r="G477" s="13"/>
    </row>
    <row r="478" ht="15.75" customHeight="1">
      <c r="D478" s="13">
        <f>IFERROR(__xludf.DUMMYFUNCTION("""COMPUTED_VALUE"""),193320.28992079807)</f>
        <v>193320.2899</v>
      </c>
      <c r="G478" s="13"/>
    </row>
    <row r="479" ht="15.75" customHeight="1">
      <c r="D479" s="13">
        <f>IFERROR(__xludf.DUMMYFUNCTION("""COMPUTED_VALUE"""),193797.0699082027)</f>
        <v>193797.0699</v>
      </c>
      <c r="G479" s="13"/>
    </row>
    <row r="480" ht="15.75" customHeight="1">
      <c r="D480" s="13">
        <f>IFERROR(__xludf.DUMMYFUNCTION("""COMPUTED_VALUE"""),194275.02576367834)</f>
        <v>194275.0258</v>
      </c>
      <c r="G480" s="13"/>
    </row>
    <row r="481" ht="15.75" customHeight="1">
      <c r="D481" s="13">
        <f>IFERROR(__xludf.DUMMYFUNCTION("""COMPUTED_VALUE"""),194754.1603872328)</f>
        <v>194754.1604</v>
      </c>
      <c r="G481" s="13"/>
    </row>
    <row r="482" ht="15.75" customHeight="1">
      <c r="D482" s="13">
        <f>IFERROR(__xludf.DUMMYFUNCTION("""COMPUTED_VALUE"""),195234.47668602623)</f>
        <v>195234.4767</v>
      </c>
      <c r="G482" s="13"/>
    </row>
    <row r="483" ht="15.75" customHeight="1">
      <c r="D483" s="13">
        <f>IFERROR(__xludf.DUMMYFUNCTION("""COMPUTED_VALUE"""),195715.9775743885)</f>
        <v>195715.9776</v>
      </c>
      <c r="G483" s="13"/>
    </row>
    <row r="484" ht="15.75" customHeight="1">
      <c r="D484" s="13">
        <f>IFERROR(__xludf.DUMMYFUNCTION("""COMPUTED_VALUE"""),196198.66597383708)</f>
        <v>196198.666</v>
      </c>
      <c r="G484" s="13"/>
    </row>
    <row r="485" ht="15.75" customHeight="1">
      <c r="D485" s="13">
        <f>IFERROR(__xludf.DUMMYFUNCTION("""COMPUTED_VALUE"""),196682.54481309466)</f>
        <v>196682.5448</v>
      </c>
      <c r="G485" s="13"/>
    </row>
    <row r="486" ht="15.75" customHeight="1">
      <c r="D486" s="13">
        <f>IFERROR(__xludf.DUMMYFUNCTION("""COMPUTED_VALUE"""),197167.61702810696)</f>
        <v>197167.617</v>
      </c>
      <c r="G486" s="13"/>
    </row>
    <row r="487" ht="15.75" customHeight="1">
      <c r="D487" s="13">
        <f>IFERROR(__xludf.DUMMYFUNCTION("""COMPUTED_VALUE"""),197653.88556206055)</f>
        <v>197653.8856</v>
      </c>
      <c r="G487" s="13"/>
    </row>
    <row r="488" ht="15.75" customHeight="1">
      <c r="D488" s="13">
        <f>IFERROR(__xludf.DUMMYFUNCTION("""COMPUTED_VALUE"""),198141.35336540063)</f>
        <v>198141.3534</v>
      </c>
      <c r="G488" s="13"/>
    </row>
    <row r="489" ht="15.75" customHeight="1">
      <c r="D489" s="13">
        <f>IFERROR(__xludf.DUMMYFUNCTION("""COMPUTED_VALUE"""),198630.02339584907)</f>
        <v>198630.0234</v>
      </c>
      <c r="G489" s="13"/>
    </row>
    <row r="490" ht="15.75" customHeight="1">
      <c r="D490" s="13">
        <f>IFERROR(__xludf.DUMMYFUNCTION("""COMPUTED_VALUE"""),199119.89861842222)</f>
        <v>199119.8986</v>
      </c>
      <c r="G490" s="13"/>
    </row>
    <row r="491" ht="15.75" customHeight="1">
      <c r="D491" s="13">
        <f>IFERROR(__xludf.DUMMYFUNCTION("""COMPUTED_VALUE"""),199610.982005449)</f>
        <v>199610.982</v>
      </c>
      <c r="G491" s="13"/>
    </row>
    <row r="492" ht="15.75" customHeight="1">
      <c r="D492" s="13">
        <f>IFERROR(__xludf.DUMMYFUNCTION("""COMPUTED_VALUE"""),200103.2765365889)</f>
        <v>200103.2765</v>
      </c>
      <c r="G492" s="13"/>
    </row>
    <row r="493" ht="15.75" customHeight="1">
      <c r="D493" s="13">
        <f>IFERROR(__xludf.DUMMYFUNCTION("""COMPUTED_VALUE"""),200596.78519885003)</f>
        <v>200596.7852</v>
      </c>
      <c r="G493" s="13"/>
    </row>
    <row r="494" ht="15.75" customHeight="1">
      <c r="D494" s="13">
        <f>IFERROR(__xludf.DUMMYFUNCTION("""COMPUTED_VALUE"""),201091.51098660726)</f>
        <v>201091.511</v>
      </c>
      <c r="G494" s="13"/>
    </row>
    <row r="495" ht="15.75" customHeight="1">
      <c r="D495" s="13">
        <f>IFERROR(__xludf.DUMMYFUNCTION("""COMPUTED_VALUE"""),201587.4569016204)</f>
        <v>201587.4569</v>
      </c>
      <c r="G495" s="13"/>
    </row>
    <row r="496" ht="15.75" customHeight="1">
      <c r="D496" s="13">
        <f>IFERROR(__xludf.DUMMYFUNCTION("""COMPUTED_VALUE"""),202084.62595305245)</f>
        <v>202084.626</v>
      </c>
      <c r="G496" s="13"/>
    </row>
    <row r="497" ht="15.75" customHeight="1">
      <c r="D497" s="13">
        <f>IFERROR(__xludf.DUMMYFUNCTION("""COMPUTED_VALUE"""),202583.02115748776)</f>
        <v>202583.0212</v>
      </c>
      <c r="G497" s="13"/>
    </row>
    <row r="498" ht="15.75" customHeight="1">
      <c r="D498" s="13">
        <f>IFERROR(__xludf.DUMMYFUNCTION("""COMPUTED_VALUE"""),203082.64553895043)</f>
        <v>203082.6455</v>
      </c>
      <c r="G498" s="13"/>
    </row>
    <row r="499" ht="15.75" customHeight="1">
      <c r="D499" s="13">
        <f>IFERROR(__xludf.DUMMYFUNCTION("""COMPUTED_VALUE"""),203583.5021289226)</f>
        <v>203583.5021</v>
      </c>
      <c r="G499" s="13"/>
    </row>
    <row r="500" ht="15.75" customHeight="1">
      <c r="D500" s="13">
        <f>IFERROR(__xludf.DUMMYFUNCTION("""COMPUTED_VALUE"""),204085.5939663629)</f>
        <v>204085.594</v>
      </c>
      <c r="G500" s="13"/>
    </row>
    <row r="501" ht="15.75" customHeight="1">
      <c r="D501" s="13">
        <f>IFERROR(__xludf.DUMMYFUNCTION("""COMPUTED_VALUE"""),204588.92409772478)</f>
        <v>204588.9241</v>
      </c>
      <c r="G501" s="13"/>
    </row>
    <row r="502" ht="15.75" customHeight="1">
      <c r="D502" s="13">
        <f>IFERROR(__xludf.DUMMYFUNCTION("""COMPUTED_VALUE"""),205093.49557697514)</f>
        <v>205093.4956</v>
      </c>
      <c r="G502" s="13"/>
    </row>
    <row r="503" ht="15.75" customHeight="1">
      <c r="D503" s="13">
        <f>IFERROR(__xludf.DUMMYFUNCTION("""COMPUTED_VALUE"""),205599.31146561273)</f>
        <v>205599.3115</v>
      </c>
      <c r="G503" s="13"/>
    </row>
    <row r="504" ht="15.75" customHeight="1">
      <c r="D504" s="13">
        <f>IFERROR(__xludf.DUMMYFUNCTION("""COMPUTED_VALUE"""),206106.37483268682)</f>
        <v>206106.3748</v>
      </c>
      <c r="G504" s="13"/>
    </row>
    <row r="505" ht="15.75" customHeight="1">
      <c r="D505" s="13">
        <f>IFERROR(__xludf.DUMMYFUNCTION("""COMPUTED_VALUE"""),206614.68875481578)</f>
        <v>206614.6888</v>
      </c>
      <c r="G505" s="13"/>
    </row>
    <row r="506" ht="15.75" customHeight="1">
      <c r="D506" s="13">
        <f>IFERROR(__xludf.DUMMYFUNCTION("""COMPUTED_VALUE"""),207124.25631620572)</f>
        <v>207124.2563</v>
      </c>
      <c r="G506" s="13"/>
    </row>
    <row r="507" ht="15.75" customHeight="1">
      <c r="D507" s="13">
        <f>IFERROR(__xludf.DUMMYFUNCTION("""COMPUTED_VALUE"""),207635.08060866926)</f>
        <v>207635.0806</v>
      </c>
      <c r="G507" s="13"/>
    </row>
    <row r="508" ht="15.75" customHeight="1">
      <c r="D508" s="13">
        <f>IFERROR(__xludf.DUMMYFUNCTION("""COMPUTED_VALUE"""),208147.16473164427)</f>
        <v>208147.1647</v>
      </c>
      <c r="G508" s="13"/>
    </row>
    <row r="509" ht="15.75" customHeight="1">
      <c r="D509" s="13">
        <f>IFERROR(__xludf.DUMMYFUNCTION("""COMPUTED_VALUE"""),208660.51179221264)</f>
        <v>208660.5118</v>
      </c>
      <c r="G509" s="13"/>
    </row>
    <row r="510" ht="15.75" customHeight="1">
      <c r="D510" s="13">
        <f>IFERROR(__xludf.DUMMYFUNCTION("""COMPUTED_VALUE"""),209175.12490511918)</f>
        <v>209175.1249</v>
      </c>
      <c r="G510" s="13"/>
    </row>
    <row r="511" ht="15.75" customHeight="1">
      <c r="D511" s="13">
        <f>IFERROR(__xludf.DUMMYFUNCTION("""COMPUTED_VALUE"""),209691.00719279054)</f>
        <v>209691.0072</v>
      </c>
      <c r="G511" s="13"/>
    </row>
    <row r="512" ht="15.75" customHeight="1">
      <c r="D512" s="13">
        <f>IFERROR(__xludf.DUMMYFUNCTION("""COMPUTED_VALUE"""),210208.16178535402)</f>
        <v>210208.1618</v>
      </c>
      <c r="G512" s="13"/>
    </row>
    <row r="513" ht="15.75" customHeight="1">
      <c r="D513" s="13">
        <f>IFERROR(__xludf.DUMMYFUNCTION("""COMPUTED_VALUE"""),210726.59182065676)</f>
        <v>210726.5918</v>
      </c>
      <c r="G513" s="13"/>
    </row>
    <row r="514" ht="15.75" customHeight="1">
      <c r="D514" s="13">
        <f>IFERROR(__xludf.DUMMYFUNCTION("""COMPUTED_VALUE"""),211246.30044428463)</f>
        <v>211246.3004</v>
      </c>
      <c r="G514" s="13"/>
    </row>
    <row r="515" ht="15.75" customHeight="1">
      <c r="D515" s="13">
        <f>IFERROR(__xludf.DUMMYFUNCTION("""COMPUTED_VALUE"""),211767.29080958135)</f>
        <v>211767.2908</v>
      </c>
      <c r="G515" s="13"/>
    </row>
    <row r="516" ht="15.75" customHeight="1">
      <c r="D516" s="13">
        <f>IFERROR(__xludf.DUMMYFUNCTION("""COMPUTED_VALUE"""),212289.56607766767)</f>
        <v>212289.5661</v>
      </c>
      <c r="G516" s="13"/>
    </row>
    <row r="517" ht="15.75" customHeight="1">
      <c r="D517" s="13">
        <f>IFERROR(__xludf.DUMMYFUNCTION("""COMPUTED_VALUE"""),212813.1294174605)</f>
        <v>212813.1294</v>
      </c>
      <c r="G517" s="13"/>
    </row>
    <row r="518" ht="15.75" customHeight="1">
      <c r="D518" s="13">
        <f>IFERROR(__xludf.DUMMYFUNCTION("""COMPUTED_VALUE"""),213337.98400569212)</f>
        <v>213337.984</v>
      </c>
      <c r="G518" s="13"/>
    </row>
    <row r="519" ht="15.75" customHeight="1">
      <c r="D519" s="13">
        <f>IFERROR(__xludf.DUMMYFUNCTION("""COMPUTED_VALUE"""),213864.13302692957)</f>
        <v>213864.133</v>
      </c>
      <c r="G519" s="13"/>
    </row>
    <row r="520" ht="15.75" customHeight="1">
      <c r="D520" s="13">
        <f>IFERROR(__xludf.DUMMYFUNCTION("""COMPUTED_VALUE"""),214391.57967359383)</f>
        <v>214391.5797</v>
      </c>
      <c r="G520" s="13"/>
    </row>
    <row r="521" ht="15.75" customHeight="1">
      <c r="D521" s="13">
        <f>IFERROR(__xludf.DUMMYFUNCTION("""COMPUTED_VALUE"""),214920.32714597924)</f>
        <v>214920.3271</v>
      </c>
      <c r="G521" s="13"/>
    </row>
    <row r="522" ht="15.75" customHeight="1">
      <c r="D522" s="13">
        <f>IFERROR(__xludf.DUMMYFUNCTION("""COMPUTED_VALUE"""),215450.37865227298)</f>
        <v>215450.3787</v>
      </c>
      <c r="G522" s="13"/>
    </row>
    <row r="523" ht="15.75" customHeight="1">
      <c r="D523" s="13">
        <f>IFERROR(__xludf.DUMMYFUNCTION("""COMPUTED_VALUE"""),215981.73740857447)</f>
        <v>215981.7374</v>
      </c>
      <c r="G523" s="13"/>
    </row>
    <row r="524" ht="15.75" customHeight="1">
      <c r="D524" s="13">
        <f>IFERROR(__xludf.DUMMYFUNCTION("""COMPUTED_VALUE"""),216514.40663891486)</f>
        <v>216514.4066</v>
      </c>
      <c r="G524" s="13"/>
    </row>
    <row r="525" ht="15.75" customHeight="1">
      <c r="D525" s="13">
        <f>IFERROR(__xludf.DUMMYFUNCTION("""COMPUTED_VALUE"""),217048.3895752767)</f>
        <v>217048.3896</v>
      </c>
      <c r="G525" s="13"/>
    </row>
    <row r="526" ht="15.75" customHeight="1">
      <c r="D526" s="13">
        <f>IFERROR(__xludf.DUMMYFUNCTION("""COMPUTED_VALUE"""),217583.6894576134)</f>
        <v>217583.6895</v>
      </c>
      <c r="G526" s="13"/>
    </row>
    <row r="527" ht="15.75" customHeight="1">
      <c r="D527" s="13">
        <f>IFERROR(__xludf.DUMMYFUNCTION("""COMPUTED_VALUE"""),218120.309533869)</f>
        <v>218120.3095</v>
      </c>
      <c r="G527" s="13"/>
    </row>
    <row r="528" ht="15.75" customHeight="1">
      <c r="D528" s="13">
        <f>IFERROR(__xludf.DUMMYFUNCTION("""COMPUTED_VALUE"""),218658.25305999792)</f>
        <v>218658.2531</v>
      </c>
      <c r="G528" s="13"/>
    </row>
    <row r="529" ht="15.75" customHeight="1">
      <c r="D529" s="13">
        <f>IFERROR(__xludf.DUMMYFUNCTION("""COMPUTED_VALUE"""),219197.52329998452)</f>
        <v>219197.5233</v>
      </c>
      <c r="G529" s="13"/>
    </row>
    <row r="530" ht="15.75" customHeight="1">
      <c r="D530" s="13">
        <f>IFERROR(__xludf.DUMMYFUNCTION("""COMPUTED_VALUE"""),219738.1235258631)</f>
        <v>219738.1235</v>
      </c>
      <c r="G530" s="13"/>
    </row>
    <row r="531" ht="15.75" customHeight="1">
      <c r="D531" s="13">
        <f>IFERROR(__xludf.DUMMYFUNCTION("""COMPUTED_VALUE"""),220280.05701773768)</f>
        <v>220280.057</v>
      </c>
      <c r="G531" s="13"/>
    </row>
    <row r="532" ht="15.75" customHeight="1">
      <c r="D532" s="13">
        <f>IFERROR(__xludf.DUMMYFUNCTION("""COMPUTED_VALUE"""),220823.32706380184)</f>
        <v>220823.3271</v>
      </c>
      <c r="G532" s="13"/>
    </row>
    <row r="533" ht="15.75" customHeight="1">
      <c r="D533" s="13">
        <f>IFERROR(__xludf.DUMMYFUNCTION("""COMPUTED_VALUE"""),221367.93696035884)</f>
        <v>221367.937</v>
      </c>
      <c r="G533" s="13"/>
    </row>
    <row r="534" ht="15.75" customHeight="1">
      <c r="D534" s="13">
        <f>IFERROR(__xludf.DUMMYFUNCTION("""COMPUTED_VALUE"""),221913.8900118414)</f>
        <v>221913.89</v>
      </c>
      <c r="G534" s="13"/>
    </row>
    <row r="535" ht="15.75" customHeight="1">
      <c r="D535" s="13">
        <f>IFERROR(__xludf.DUMMYFUNCTION("""COMPUTED_VALUE"""),222461.18953083194)</f>
        <v>222461.1895</v>
      </c>
      <c r="G535" s="13"/>
    </row>
    <row r="536" ht="15.75" customHeight="1">
      <c r="D536" s="13">
        <f>IFERROR(__xludf.DUMMYFUNCTION("""COMPUTED_VALUE"""),223009.83883808253)</f>
        <v>223009.8388</v>
      </c>
      <c r="G536" s="13"/>
    </row>
    <row r="537" ht="15.75" customHeight="1">
      <c r="D537" s="13">
        <f>IFERROR(__xludf.DUMMYFUNCTION("""COMPUTED_VALUE"""),223559.84126253522)</f>
        <v>223559.8413</v>
      </c>
      <c r="G537" s="13"/>
    </row>
    <row r="538" ht="15.75" customHeight="1">
      <c r="D538" s="13">
        <f>IFERROR(__xludf.DUMMYFUNCTION("""COMPUTED_VALUE"""),224111.20014134204)</f>
        <v>224111.2001</v>
      </c>
      <c r="G538" s="13"/>
    </row>
    <row r="539" ht="15.75" customHeight="1">
      <c r="D539" s="13">
        <f>IFERROR(__xludf.DUMMYFUNCTION("""COMPUTED_VALUE"""),224663.91881988532)</f>
        <v>224663.9188</v>
      </c>
      <c r="G539" s="13"/>
    </row>
    <row r="540" ht="15.75" customHeight="1">
      <c r="D540" s="13">
        <f>IFERROR(__xludf.DUMMYFUNCTION("""COMPUTED_VALUE"""),225218.0006517981)</f>
        <v>225218.0007</v>
      </c>
      <c r="G540" s="13"/>
    </row>
    <row r="541" ht="15.75" customHeight="1">
      <c r="D541" s="13">
        <f>IFERROR(__xludf.DUMMYFUNCTION("""COMPUTED_VALUE"""),225773.4489989843)</f>
        <v>225773.449</v>
      </c>
      <c r="G541" s="13"/>
    </row>
    <row r="542" ht="15.75" customHeight="1">
      <c r="D542" s="13">
        <f>IFERROR(__xludf.DUMMYFUNCTION("""COMPUTED_VALUE"""),226330.26723163924)</f>
        <v>226330.2672</v>
      </c>
      <c r="G542" s="13"/>
    </row>
    <row r="543" ht="15.75" customHeight="1">
      <c r="D543" s="13">
        <f>IFERROR(__xludf.DUMMYFUNCTION("""COMPUTED_VALUE"""),226888.45872827005)</f>
        <v>226888.4587</v>
      </c>
      <c r="G543" s="13"/>
    </row>
    <row r="544" ht="15.75" customHeight="1">
      <c r="D544" s="13">
        <f>IFERROR(__xludf.DUMMYFUNCTION("""COMPUTED_VALUE"""),227448.02687571617)</f>
        <v>227448.0269</v>
      </c>
      <c r="G544" s="13"/>
    </row>
    <row r="545" ht="15.75" customHeight="1">
      <c r="D545" s="13">
        <f>IFERROR(__xludf.DUMMYFUNCTION("""COMPUTED_VALUE"""),228008.97506916986)</f>
        <v>228008.9751</v>
      </c>
      <c r="G545" s="13"/>
    </row>
    <row r="546" ht="15.75" customHeight="1">
      <c r="D546" s="13">
        <f>IFERROR(__xludf.DUMMYFUNCTION("""COMPUTED_VALUE"""),228571.3067121969)</f>
        <v>228571.3067</v>
      </c>
      <c r="G546" s="13"/>
    </row>
    <row r="547" ht="15.75" customHeight="1">
      <c r="D547" s="13">
        <f>IFERROR(__xludf.DUMMYFUNCTION("""COMPUTED_VALUE"""),229135.02521675715)</f>
        <v>229135.0252</v>
      </c>
      <c r="G547" s="13"/>
    </row>
    <row r="548" ht="15.75" customHeight="1">
      <c r="D548" s="13">
        <f>IFERROR(__xludf.DUMMYFUNCTION("""COMPUTED_VALUE"""),229700.13400322528)</f>
        <v>229700.134</v>
      </c>
      <c r="G548" s="13"/>
    </row>
    <row r="549" ht="15.75" customHeight="1">
      <c r="D549" s="13">
        <f>IFERROR(__xludf.DUMMYFUNCTION("""COMPUTED_VALUE"""),230266.63650041155)</f>
        <v>230266.6365</v>
      </c>
      <c r="G549" s="13"/>
    </row>
    <row r="550" ht="15.75" customHeight="1">
      <c r="D550" s="13">
        <f>IFERROR(__xludf.DUMMYFUNCTION("""COMPUTED_VALUE"""),230834.53614558256)</f>
        <v>230834.5361</v>
      </c>
      <c r="G550" s="13"/>
    </row>
    <row r="551" ht="15.75" customHeight="1">
      <c r="D551" s="13">
        <f>IFERROR(__xludf.DUMMYFUNCTION("""COMPUTED_VALUE"""),231403.83638448216)</f>
        <v>231403.8364</v>
      </c>
      <c r="G551" s="13"/>
    </row>
    <row r="552" ht="15.75" customHeight="1">
      <c r="D552" s="13">
        <f>IFERROR(__xludf.DUMMYFUNCTION("""COMPUTED_VALUE"""),231974.54067135233)</f>
        <v>231974.5407</v>
      </c>
      <c r="G552" s="13"/>
    </row>
    <row r="553" ht="15.75" customHeight="1">
      <c r="D553" s="13">
        <f>IFERROR(__xludf.DUMMYFUNCTION("""COMPUTED_VALUE"""),232546.65246895413)</f>
        <v>232546.6525</v>
      </c>
      <c r="G553" s="13"/>
    </row>
    <row r="554" ht="15.75" customHeight="1">
      <c r="D554" s="13">
        <f>IFERROR(__xludf.DUMMYFUNCTION("""COMPUTED_VALUE"""),233120.17524858873)</f>
        <v>233120.1752</v>
      </c>
      <c r="G554" s="13"/>
    </row>
    <row r="555" ht="15.75" customHeight="1">
      <c r="D555" s="13">
        <f>IFERROR(__xludf.DUMMYFUNCTION("""COMPUTED_VALUE"""),233695.11249011845)</f>
        <v>233695.1125</v>
      </c>
      <c r="G555" s="13"/>
    </row>
    <row r="556" ht="15.75" customHeight="1">
      <c r="D556" s="13">
        <f>IFERROR(__xludf.DUMMYFUNCTION("""COMPUTED_VALUE"""),234271.46768198794)</f>
        <v>234271.4677</v>
      </c>
      <c r="G556" s="13"/>
    </row>
    <row r="557" ht="15.75" customHeight="1">
      <c r="D557" s="13">
        <f>IFERROR(__xludf.DUMMYFUNCTION("""COMPUTED_VALUE"""),234849.24432124523)</f>
        <v>234849.2443</v>
      </c>
      <c r="G557" s="13"/>
    </row>
    <row r="558" ht="15.75" customHeight="1">
      <c r="D558" s="13">
        <f>IFERROR(__xludf.DUMMYFUNCTION("""COMPUTED_VALUE"""),235428.44591356308)</f>
        <v>235428.4459</v>
      </c>
      <c r="G558" s="13"/>
    </row>
    <row r="559" ht="15.75" customHeight="1">
      <c r="D559" s="13">
        <f>IFERROR(__xludf.DUMMYFUNCTION("""COMPUTED_VALUE"""),236009.07597326013)</f>
        <v>236009.076</v>
      </c>
      <c r="G559" s="13"/>
    </row>
    <row r="560" ht="15.75" customHeight="1">
      <c r="D560" s="13">
        <f>IFERROR(__xludf.DUMMYFUNCTION("""COMPUTED_VALUE"""),236591.1380233223)</f>
        <v>236591.138</v>
      </c>
      <c r="G560" s="13"/>
    </row>
    <row r="561" ht="15.75" customHeight="1">
      <c r="D561" s="13">
        <f>IFERROR(__xludf.DUMMYFUNCTION("""COMPUTED_VALUE"""),237174.63559542416)</f>
        <v>237174.6356</v>
      </c>
      <c r="G561" s="13"/>
    </row>
    <row r="562" ht="15.75" customHeight="1">
      <c r="D562" s="13">
        <f>IFERROR(__xludf.DUMMYFUNCTION("""COMPUTED_VALUE"""),237759.57222995028)</f>
        <v>237759.5722</v>
      </c>
      <c r="G562" s="13"/>
    </row>
    <row r="563" ht="15.75" customHeight="1">
      <c r="D563" s="13">
        <f>IFERROR(__xludf.DUMMYFUNCTION("""COMPUTED_VALUE"""),238345.95147601687)</f>
        <v>238345.9515</v>
      </c>
      <c r="G563" s="13"/>
    </row>
    <row r="564" ht="15.75" customHeight="1">
      <c r="D564" s="13">
        <f>IFERROR(__xludf.DUMMYFUNCTION("""COMPUTED_VALUE"""),238933.77689149312)</f>
        <v>238933.7769</v>
      </c>
      <c r="G564" s="13"/>
    </row>
    <row r="565" ht="15.75" customHeight="1">
      <c r="D565" s="13">
        <f>IFERROR(__xludf.DUMMYFUNCTION("""COMPUTED_VALUE"""),239523.05204302297)</f>
        <v>239523.052</v>
      </c>
      <c r="G565" s="13"/>
    </row>
    <row r="566" ht="15.75" customHeight="1">
      <c r="D566" s="13">
        <f>IFERROR(__xludf.DUMMYFUNCTION("""COMPUTED_VALUE"""),240113.7805060466)</f>
        <v>240113.7805</v>
      </c>
      <c r="G566" s="13"/>
    </row>
    <row r="567" ht="15.75" customHeight="1">
      <c r="D567" s="13">
        <f>IFERROR(__xludf.DUMMYFUNCTION("""COMPUTED_VALUE"""),240705.96586482224)</f>
        <v>240705.9659</v>
      </c>
      <c r="G567" s="13"/>
    </row>
    <row r="568" ht="15.75" customHeight="1">
      <c r="D568" s="13">
        <f>IFERROR(__xludf.DUMMYFUNCTION("""COMPUTED_VALUE"""),241299.6117124478)</f>
        <v>241299.6117</v>
      </c>
      <c r="G568" s="13"/>
    </row>
    <row r="569" ht="15.75" customHeight="1">
      <c r="D569" s="13">
        <f>IFERROR(__xludf.DUMMYFUNCTION("""COMPUTED_VALUE"""),241894.72165088283)</f>
        <v>241894.7217</v>
      </c>
      <c r="G569" s="13"/>
    </row>
    <row r="570" ht="15.75" customHeight="1">
      <c r="D570" s="13">
        <f>IFERROR(__xludf.DUMMYFUNCTION("""COMPUTED_VALUE"""),242491.2992909702)</f>
        <v>242491.2993</v>
      </c>
      <c r="G570" s="13"/>
    </row>
    <row r="571" ht="15.75" customHeight="1">
      <c r="D571" s="13">
        <f>IFERROR(__xludf.DUMMYFUNCTION("""COMPUTED_VALUE"""),243089.34825245818)</f>
        <v>243089.3483</v>
      </c>
      <c r="G571" s="13"/>
    </row>
    <row r="572" ht="15.75" customHeight="1">
      <c r="D572" s="13">
        <f>IFERROR(__xludf.DUMMYFUNCTION("""COMPUTED_VALUE"""),243688.8721640222)</f>
        <v>243688.8722</v>
      </c>
      <c r="G572" s="13"/>
    </row>
    <row r="573" ht="15.75" customHeight="1">
      <c r="D573" s="13">
        <f>IFERROR(__xludf.DUMMYFUNCTION("""COMPUTED_VALUE"""),244289.8746632871)</f>
        <v>244289.8747</v>
      </c>
      <c r="G573" s="13"/>
    </row>
    <row r="574" ht="15.75" customHeight="1">
      <c r="D574" s="13">
        <f>IFERROR(__xludf.DUMMYFUNCTION("""COMPUTED_VALUE"""),244892.35939684903)</f>
        <v>244892.3594</v>
      </c>
      <c r="G574" s="13"/>
    </row>
    <row r="575" ht="15.75" customHeight="1">
      <c r="D575" s="13">
        <f>IFERROR(__xludf.DUMMYFUNCTION("""COMPUTED_VALUE"""),245496.3300202976)</f>
        <v>245496.33</v>
      </c>
      <c r="G575" s="13"/>
    </row>
    <row r="576" ht="15.75" customHeight="1">
      <c r="D576" s="13">
        <f>IFERROR(__xludf.DUMMYFUNCTION("""COMPUTED_VALUE"""),246101.79019823816)</f>
        <v>246101.7902</v>
      </c>
      <c r="G576" s="13"/>
    </row>
    <row r="577" ht="15.75" customHeight="1">
      <c r="D577" s="13">
        <f>IFERROR(__xludf.DUMMYFUNCTION("""COMPUTED_VALUE"""),246708.7436043139)</f>
        <v>246708.7436</v>
      </c>
      <c r="G577" s="13"/>
    </row>
    <row r="578" ht="15.75" customHeight="1">
      <c r="D578" s="13">
        <f>IFERROR(__xludf.DUMMYFUNCTION("""COMPUTED_VALUE"""),247317.19392122823)</f>
        <v>247317.1939</v>
      </c>
      <c r="G578" s="13"/>
    </row>
    <row r="579" ht="15.75" customHeight="1">
      <c r="D579" s="13">
        <f>IFERROR(__xludf.DUMMYFUNCTION("""COMPUTED_VALUE"""),247927.1448407671)</f>
        <v>247927.1448</v>
      </c>
      <c r="G579" s="13"/>
    </row>
    <row r="580" ht="15.75" customHeight="1">
      <c r="D580" s="13">
        <f>IFERROR(__xludf.DUMMYFUNCTION("""COMPUTED_VALUE"""),248538.60006382145)</f>
        <v>248538.6001</v>
      </c>
      <c r="G580" s="13"/>
    </row>
    <row r="581" ht="15.75" customHeight="1">
      <c r="D581" s="13">
        <f>IFERROR(__xludf.DUMMYFUNCTION("""COMPUTED_VALUE"""),249151.56330040953)</f>
        <v>249151.5633</v>
      </c>
      <c r="G581" s="13"/>
    </row>
    <row r="582" ht="15.75" customHeight="1">
      <c r="D582" s="13">
        <f>IFERROR(__xludf.DUMMYFUNCTION("""COMPUTED_VALUE"""),249766.03826969955)</f>
        <v>249766.0383</v>
      </c>
      <c r="G582" s="13"/>
    </row>
    <row r="583" ht="15.75" customHeight="1">
      <c r="D583" s="13">
        <f>IFERROR(__xludf.DUMMYFUNCTION("""COMPUTED_VALUE"""),250382.02870003216)</f>
        <v>250382.0287</v>
      </c>
      <c r="G583" s="13"/>
    </row>
    <row r="584" ht="15.75" customHeight="1">
      <c r="D584" s="13">
        <f>IFERROR(__xludf.DUMMYFUNCTION("""COMPUTED_VALUE"""),250999.5383289431)</f>
        <v>250999.5383</v>
      </c>
      <c r="G584" s="13"/>
    </row>
    <row r="585" ht="15.75" customHeight="1">
      <c r="D585" s="13">
        <f>IFERROR(__xludf.DUMMYFUNCTION("""COMPUTED_VALUE"""),251618.57090318596)</f>
        <v>251618.5709</v>
      </c>
      <c r="G585" s="13"/>
    </row>
    <row r="586" ht="15.75" customHeight="1">
      <c r="D586" s="13">
        <f>IFERROR(__xludf.DUMMYFUNCTION("""COMPUTED_VALUE"""),252239.13017875474)</f>
        <v>252239.1302</v>
      </c>
      <c r="G586" s="13"/>
    </row>
    <row r="587" ht="15.75" customHeight="1">
      <c r="D587" s="13">
        <f>IFERROR(__xludf.DUMMYFUNCTION("""COMPUTED_VALUE"""),252861.2199209068)</f>
        <v>252861.2199</v>
      </c>
      <c r="G587" s="13"/>
    </row>
    <row r="588" ht="15.75" customHeight="1">
      <c r="D588" s="13">
        <f>IFERROR(__xludf.DUMMYFUNCTION("""COMPUTED_VALUE"""),253484.84390418555)</f>
        <v>253484.8439</v>
      </c>
      <c r="G588" s="13"/>
    </row>
    <row r="589" ht="15.75" customHeight="1">
      <c r="D589" s="13">
        <f>IFERROR(__xludf.DUMMYFUNCTION("""COMPUTED_VALUE"""),254110.00591244356)</f>
        <v>254110.0059</v>
      </c>
      <c r="G589" s="13"/>
    </row>
    <row r="590" ht="15.75" customHeight="1">
      <c r="D590" s="13">
        <f>IFERROR(__xludf.DUMMYFUNCTION("""COMPUTED_VALUE"""),254736.70973886535)</f>
        <v>254736.7097</v>
      </c>
      <c r="G590" s="13"/>
    </row>
    <row r="591" ht="15.75" customHeight="1">
      <c r="D591" s="13">
        <f>IFERROR(__xludf.DUMMYFUNCTION("""COMPUTED_VALUE"""),255364.95918599042)</f>
        <v>255364.9592</v>
      </c>
      <c r="G591" s="13"/>
    </row>
    <row r="592" ht="15.75" customHeight="1">
      <c r="D592" s="13">
        <f>IFERROR(__xludf.DUMMYFUNCTION("""COMPUTED_VALUE"""),255994.7580657364)</f>
        <v>255994.7581</v>
      </c>
      <c r="G592" s="13"/>
    </row>
    <row r="593" ht="15.75" customHeight="1">
      <c r="D593" s="13">
        <f>IFERROR(__xludf.DUMMYFUNCTION("""COMPUTED_VALUE"""),256626.1101994221)</f>
        <v>256626.1102</v>
      </c>
      <c r="G593" s="13"/>
    </row>
    <row r="594" ht="15.75" customHeight="1">
      <c r="D594" s="13">
        <f>IFERROR(__xludf.DUMMYFUNCTION("""COMPUTED_VALUE"""),257259.0194177908)</f>
        <v>257259.0194</v>
      </c>
      <c r="G594" s="13"/>
    </row>
    <row r="595" ht="15.75" customHeight="1">
      <c r="D595" s="13">
        <f>IFERROR(__xludf.DUMMYFUNCTION("""COMPUTED_VALUE"""),257893.4895610334)</f>
        <v>257893.4896</v>
      </c>
      <c r="G595" s="13"/>
    </row>
    <row r="596" ht="15.75" customHeight="1">
      <c r="D596" s="13">
        <f>IFERROR(__xludf.DUMMYFUNCTION("""COMPUTED_VALUE"""),258529.5244788117)</f>
        <v>258529.5245</v>
      </c>
      <c r="G596" s="13"/>
    </row>
    <row r="597" ht="15.75" customHeight="1">
      <c r="D597" s="13">
        <f>IFERROR(__xludf.DUMMYFUNCTION("""COMPUTED_VALUE"""),259167.12803028186)</f>
        <v>259167.128</v>
      </c>
      <c r="G597" s="13"/>
    </row>
    <row r="598" ht="15.75" customHeight="1">
      <c r="D598" s="13">
        <f>IFERROR(__xludf.DUMMYFUNCTION("""COMPUTED_VALUE"""),259806.3040841177)</f>
        <v>259806.3041</v>
      </c>
      <c r="G598" s="13"/>
    </row>
    <row r="599" ht="15.75" customHeight="1">
      <c r="D599" s="13">
        <f>IFERROR(__xludf.DUMMYFUNCTION("""COMPUTED_VALUE"""),260447.0565185343)</f>
        <v>260447.0565</v>
      </c>
      <c r="G599" s="13"/>
    </row>
    <row r="600" ht="15.75" customHeight="1">
      <c r="D600" s="13">
        <f>IFERROR(__xludf.DUMMYFUNCTION("""COMPUTED_VALUE"""),261089.38922131143)</f>
        <v>261089.3892</v>
      </c>
      <c r="G600" s="13"/>
    </row>
    <row r="601" ht="15.75" customHeight="1">
      <c r="D601" s="13">
        <f>IFERROR(__xludf.DUMMYFUNCTION("""COMPUTED_VALUE"""),261733.3060898172)</f>
        <v>261733.3061</v>
      </c>
      <c r="G601" s="13"/>
    </row>
    <row r="602" ht="15.75" customHeight="1">
      <c r="D602" s="13">
        <f>IFERROR(__xludf.DUMMYFUNCTION("""COMPUTED_VALUE"""),262378.8110310316)</f>
        <v>262378.811</v>
      </c>
      <c r="G602" s="13"/>
    </row>
    <row r="603" ht="15.75" customHeight="1">
      <c r="D603" s="13">
        <f>IFERROR(__xludf.DUMMYFUNCTION("""COMPUTED_VALUE"""),263025.9079615704)</f>
        <v>263025.908</v>
      </c>
      <c r="G603" s="13"/>
    </row>
    <row r="604" ht="15.75" customHeight="1">
      <c r="D604" s="13">
        <f>IFERROR(__xludf.DUMMYFUNCTION("""COMPUTED_VALUE"""),263674.6008077088)</f>
        <v>263674.6008</v>
      </c>
      <c r="G604" s="13"/>
    </row>
    <row r="605" ht="15.75" customHeight="1">
      <c r="D605" s="13">
        <f>IFERROR(__xludf.DUMMYFUNCTION("""COMPUTED_VALUE"""),264324.8935054051)</f>
        <v>264324.8935</v>
      </c>
      <c r="G605" s="13"/>
    </row>
    <row r="606" ht="15.75" customHeight="1">
      <c r="D606" s="13">
        <f>IFERROR(__xludf.DUMMYFUNCTION("""COMPUTED_VALUE"""),264976.7900003249)</f>
        <v>264976.79</v>
      </c>
      <c r="G606" s="13"/>
    </row>
    <row r="607" ht="15.75" customHeight="1">
      <c r="D607" s="13">
        <f>IFERROR(__xludf.DUMMYFUNCTION("""COMPUTED_VALUE"""),265630.29424786475)</f>
        <v>265630.2942</v>
      </c>
      <c r="G607" s="13"/>
    </row>
    <row r="608" ht="15.75" customHeight="1">
      <c r="D608" s="13">
        <f>IFERROR(__xludf.DUMMYFUNCTION("""COMPUTED_VALUE"""),266285.4102131764)</f>
        <v>266285.4102</v>
      </c>
      <c r="G608" s="13"/>
    </row>
    <row r="609" ht="15.75" customHeight="1">
      <c r="D609" s="13">
        <f>IFERROR(__xludf.DUMMYFUNCTION("""COMPUTED_VALUE"""),266942.14187119063)</f>
        <v>266942.1419</v>
      </c>
      <c r="G609" s="13"/>
    </row>
    <row r="610" ht="15.75" customHeight="1">
      <c r="D610" s="13">
        <f>IFERROR(__xludf.DUMMYFUNCTION("""COMPUTED_VALUE"""),267600.4932066416)</f>
        <v>267600.4932</v>
      </c>
      <c r="G610" s="13"/>
    </row>
    <row r="611" ht="15.75" customHeight="1">
      <c r="D611" s="13">
        <f>IFERROR(__xludf.DUMMYFUNCTION("""COMPUTED_VALUE"""),268260.4682140907)</f>
        <v>268260.4682</v>
      </c>
      <c r="G611" s="13"/>
    </row>
    <row r="612" ht="15.75" customHeight="1">
      <c r="D612" s="13">
        <f>IFERROR(__xludf.DUMMYFUNCTION("""COMPUTED_VALUE"""),268922.07089795114)</f>
        <v>268922.0709</v>
      </c>
      <c r="G612" s="13"/>
    </row>
    <row r="613" ht="15.75" customHeight="1">
      <c r="D613" s="13">
        <f>IFERROR(__xludf.DUMMYFUNCTION("""COMPUTED_VALUE"""),269585.3052725121)</f>
        <v>269585.3053</v>
      </c>
      <c r="G613" s="13"/>
    </row>
    <row r="614" ht="15.75" customHeight="1">
      <c r="D614" s="13">
        <f>IFERROR(__xludf.DUMMYFUNCTION("""COMPUTED_VALUE"""),270250.17536196293)</f>
        <v>270250.1754</v>
      </c>
      <c r="G614" s="13"/>
    </row>
    <row r="615" ht="15.75" customHeight="1">
      <c r="D615" s="13">
        <f>IFERROR(__xludf.DUMMYFUNCTION("""COMPUTED_VALUE"""),270916.68520041794)</f>
        <v>270916.6852</v>
      </c>
      <c r="G615" s="13"/>
    </row>
    <row r="616" ht="15.75" customHeight="1">
      <c r="D616" s="13">
        <f>IFERROR(__xludf.DUMMYFUNCTION("""COMPUTED_VALUE"""),271584.83883194043)</f>
        <v>271584.8388</v>
      </c>
      <c r="G616" s="13"/>
    </row>
    <row r="617" ht="15.75" customHeight="1">
      <c r="D617" s="13">
        <f>IFERROR(__xludf.DUMMYFUNCTION("""COMPUTED_VALUE"""),272254.6403105676)</f>
        <v>272254.6403</v>
      </c>
      <c r="G617" s="13"/>
    </row>
    <row r="618" ht="15.75" customHeight="1">
      <c r="D618" s="13">
        <f>IFERROR(__xludf.DUMMYFUNCTION("""COMPUTED_VALUE"""),272926.093700335)</f>
        <v>272926.0937</v>
      </c>
      <c r="G618" s="13"/>
    </row>
    <row r="619" ht="15.75" customHeight="1">
      <c r="D619" s="13">
        <f>IFERROR(__xludf.DUMMYFUNCTION("""COMPUTED_VALUE"""),273599.2030753011)</f>
        <v>273599.2031</v>
      </c>
      <c r="G619" s="13"/>
    </row>
    <row r="620" ht="15.75" customHeight="1">
      <c r="D620" s="13">
        <f>IFERROR(__xludf.DUMMYFUNCTION("""COMPUTED_VALUE"""),274273.97251957207)</f>
        <v>274273.9725</v>
      </c>
      <c r="G620" s="13"/>
    </row>
    <row r="621" ht="15.75" customHeight="1">
      <c r="D621" s="13">
        <f>IFERROR(__xludf.DUMMYFUNCTION("""COMPUTED_VALUE"""),274950.4061273267)</f>
        <v>274950.4061</v>
      </c>
      <c r="G621" s="13"/>
    </row>
    <row r="622" ht="15.75" customHeight="1">
      <c r="D622" s="13">
        <f>IFERROR(__xludf.DUMMYFUNCTION("""COMPUTED_VALUE"""),275628.50800284115)</f>
        <v>275628.508</v>
      </c>
      <c r="G622" s="13"/>
    </row>
    <row r="623" ht="15.75" customHeight="1">
      <c r="D623" s="13">
        <f>IFERROR(__xludf.DUMMYFUNCTION("""COMPUTED_VALUE"""),276308.2822605137)</f>
        <v>276308.2823</v>
      </c>
      <c r="G623" s="13"/>
    </row>
    <row r="624" ht="15.75" customHeight="1">
      <c r="D624" s="13">
        <f>IFERROR(__xludf.DUMMYFUNCTION("""COMPUTED_VALUE"""),276989.73302488995)</f>
        <v>276989.733</v>
      </c>
      <c r="G624" s="13"/>
    </row>
    <row r="625" ht="15.75" customHeight="1">
      <c r="D625" s="13">
        <f>IFERROR(__xludf.DUMMYFUNCTION("""COMPUTED_VALUE"""),277672.8644306877)</f>
        <v>277672.8644</v>
      </c>
      <c r="G625" s="13"/>
    </row>
    <row r="626" ht="15.75" customHeight="1">
      <c r="D626" s="13">
        <f>IFERROR(__xludf.DUMMYFUNCTION("""COMPUTED_VALUE"""),278357.6806228221)</f>
        <v>278357.6806</v>
      </c>
      <c r="G626" s="13"/>
    </row>
    <row r="627" ht="15.75" customHeight="1">
      <c r="D627" s="13">
        <f>IFERROR(__xludf.DUMMYFUNCTION("""COMPUTED_VALUE"""),279044.1857564307)</f>
        <v>279044.1858</v>
      </c>
      <c r="G627" s="13"/>
    </row>
    <row r="628" ht="15.75" customHeight="1">
      <c r="D628" s="13">
        <f>IFERROR(__xludf.DUMMYFUNCTION("""COMPUTED_VALUE"""),279732.3839968989)</f>
        <v>279732.384</v>
      </c>
      <c r="G628" s="13"/>
    </row>
    <row r="629" ht="15.75" customHeight="1">
      <c r="D629" s="13">
        <f>IFERROR(__xludf.DUMMYFUNCTION("""COMPUTED_VALUE"""),280422.2795198849)</f>
        <v>280422.2795</v>
      </c>
      <c r="G629" s="13"/>
    </row>
    <row r="630" ht="15.75" customHeight="1">
      <c r="D630" s="13">
        <f>IFERROR(__xludf.DUMMYFUNCTION("""COMPUTED_VALUE"""),281113.87651134527)</f>
        <v>281113.8765</v>
      </c>
      <c r="G630" s="13"/>
    </row>
    <row r="631" ht="15.75" customHeight="1">
      <c r="D631" s="13">
        <f>IFERROR(__xludf.DUMMYFUNCTION("""COMPUTED_VALUE"""),281807.1791675603)</f>
        <v>281807.1792</v>
      </c>
      <c r="G631" s="13"/>
    </row>
    <row r="632" ht="15.75" customHeight="1">
      <c r="D632" s="13">
        <f>IFERROR(__xludf.DUMMYFUNCTION("""COMPUTED_VALUE"""),282502.1916951594)</f>
        <v>282502.1917</v>
      </c>
      <c r="G632" s="13"/>
    </row>
    <row r="633" ht="15.75" customHeight="1">
      <c r="D633" s="13">
        <f>IFERROR(__xludf.DUMMYFUNCTION("""COMPUTED_VALUE"""),283198.9183111467)</f>
        <v>283198.9183</v>
      </c>
      <c r="G633" s="13"/>
    </row>
    <row r="634" ht="15.75" customHeight="1">
      <c r="D634" s="13">
        <f>IFERROR(__xludf.DUMMYFUNCTION("""COMPUTED_VALUE"""),283897.3632429266)</f>
        <v>283897.3632</v>
      </c>
      <c r="G634" s="13"/>
    </row>
    <row r="635" ht="15.75" customHeight="1">
      <c r="D635" s="13">
        <f>IFERROR(__xludf.DUMMYFUNCTION("""COMPUTED_VALUE"""),284597.5307283293)</f>
        <v>284597.5307</v>
      </c>
      <c r="G635" s="13"/>
    </row>
    <row r="636" ht="15.75" customHeight="1">
      <c r="D636" s="13">
        <f>IFERROR(__xludf.DUMMYFUNCTION("""COMPUTED_VALUE"""),285299.4250156369)</f>
        <v>285299.425</v>
      </c>
      <c r="G636" s="13"/>
    </row>
    <row r="637" ht="15.75" customHeight="1">
      <c r="D637" s="13">
        <f>IFERROR(__xludf.DUMMYFUNCTION("""COMPUTED_VALUE"""),286003.0503636086)</f>
        <v>286003.0504</v>
      </c>
      <c r="G637" s="13"/>
    </row>
    <row r="638" ht="15.75" customHeight="1">
      <c r="D638" s="13">
        <f>IFERROR(__xludf.DUMMYFUNCTION("""COMPUTED_VALUE"""),286708.411041507)</f>
        <v>286708.411</v>
      </c>
      <c r="G638" s="13"/>
    </row>
    <row r="639" ht="15.75" customHeight="1">
      <c r="D639" s="13">
        <f>IFERROR(__xludf.DUMMYFUNCTION("""COMPUTED_VALUE"""),287415.51132912387)</f>
        <v>287415.5113</v>
      </c>
      <c r="G639" s="13"/>
    </row>
    <row r="640" ht="15.75" customHeight="1">
      <c r="D640" s="13">
        <f>IFERROR(__xludf.DUMMYFUNCTION("""COMPUTED_VALUE"""),288124.35551680607)</f>
        <v>288124.3555</v>
      </c>
      <c r="G640" s="13"/>
    </row>
    <row r="641" ht="15.75" customHeight="1">
      <c r="D641" s="13">
        <f>IFERROR(__xludf.DUMMYFUNCTION("""COMPUTED_VALUE"""),288834.9479054817)</f>
        <v>288834.9479</v>
      </c>
      <c r="G641" s="13"/>
    </row>
    <row r="642" ht="15.75" customHeight="1">
      <c r="D642" s="13">
        <f>IFERROR(__xludf.DUMMYFUNCTION("""COMPUTED_VALUE"""),289547.2928066859)</f>
        <v>289547.2928</v>
      </c>
      <c r="G642" s="13"/>
    </row>
    <row r="643" ht="15.75" customHeight="1">
      <c r="D643" s="13">
        <f>IFERROR(__xludf.DUMMYFUNCTION("""COMPUTED_VALUE"""),290261.3945425874)</f>
        <v>290261.3945</v>
      </c>
      <c r="G643" s="13"/>
    </row>
    <row r="644" ht="15.75" customHeight="1">
      <c r="D644" s="13">
        <f>IFERROR(__xludf.DUMMYFUNCTION("""COMPUTED_VALUE"""),290977.2574460145)</f>
        <v>290977.2574</v>
      </c>
      <c r="G644" s="13"/>
    </row>
    <row r="645" ht="15.75" customHeight="1">
      <c r="D645" s="13">
        <f>IFERROR(__xludf.DUMMYFUNCTION("""COMPUTED_VALUE"""),291694.8858604814)</f>
        <v>291694.8859</v>
      </c>
      <c r="G645" s="13"/>
    </row>
    <row r="646" ht="15.75" customHeight="1">
      <c r="D646" s="13">
        <f>IFERROR(__xludf.DUMMYFUNCTION("""COMPUTED_VALUE"""),292414.2841402147)</f>
        <v>292414.2841</v>
      </c>
      <c r="G646" s="13"/>
    </row>
    <row r="647" ht="15.75" customHeight="1">
      <c r="D647" s="13">
        <f>IFERROR(__xludf.DUMMYFUNCTION("""COMPUTED_VALUE"""),293135.4566501795)</f>
        <v>293135.4567</v>
      </c>
      <c r="G647" s="13"/>
    </row>
    <row r="648" ht="15.75" customHeight="1">
      <c r="D648" s="13">
        <f>IFERROR(__xludf.DUMMYFUNCTION("""COMPUTED_VALUE"""),293858.4077661063)</f>
        <v>293858.4078</v>
      </c>
      <c r="G648" s="13"/>
    </row>
    <row r="649" ht="15.75" customHeight="1">
      <c r="D649" s="13">
        <f>IFERROR(__xludf.DUMMYFUNCTION("""COMPUTED_VALUE"""),294583.14187451714)</f>
        <v>294583.1419</v>
      </c>
      <c r="G649" s="13"/>
    </row>
    <row r="650" ht="15.75" customHeight="1">
      <c r="D650" s="13">
        <f>IFERROR(__xludf.DUMMYFUNCTION("""COMPUTED_VALUE"""),295309.6633727525)</f>
        <v>295309.6634</v>
      </c>
      <c r="G650" s="13"/>
    </row>
    <row r="651" ht="15.75" customHeight="1">
      <c r="D651" s="13">
        <f>IFERROR(__xludf.DUMMYFUNCTION("""COMPUTED_VALUE"""),296037.9766689979)</f>
        <v>296037.9767</v>
      </c>
      <c r="G651" s="13"/>
    </row>
    <row r="652" ht="15.75" customHeight="1">
      <c r="D652" s="13">
        <f>IFERROR(__xludf.DUMMYFUNCTION("""COMPUTED_VALUE"""),296768.0861823106)</f>
        <v>296768.0862</v>
      </c>
      <c r="G652" s="13"/>
    </row>
    <row r="653" ht="15.75" customHeight="1">
      <c r="D653" s="13">
        <f>IFERROR(__xludf.DUMMYFUNCTION("""COMPUTED_VALUE"""),297499.9963426464)</f>
        <v>297499.9963</v>
      </c>
      <c r="G653" s="13"/>
    </row>
    <row r="654" ht="15.75" customHeight="1">
      <c r="D654" s="13">
        <f>IFERROR(__xludf.DUMMYFUNCTION("""COMPUTED_VALUE"""),298233.71159088676)</f>
        <v>298233.7116</v>
      </c>
      <c r="G654" s="13"/>
    </row>
    <row r="655" ht="15.75" customHeight="1">
      <c r="D655" s="13">
        <f>IFERROR(__xludf.DUMMYFUNCTION("""COMPUTED_VALUE"""),298969.2363788653)</f>
        <v>298969.2364</v>
      </c>
      <c r="G655" s="13"/>
    </row>
    <row r="656" ht="15.75" customHeight="1">
      <c r="D656" s="13">
        <f>IFERROR(__xludf.DUMMYFUNCTION("""COMPUTED_VALUE"""),299706.57516939525)</f>
        <v>299706.5752</v>
      </c>
      <c r="G656" s="13"/>
    </row>
    <row r="657" ht="15.75" customHeight="1">
      <c r="D657" s="13">
        <f>IFERROR(__xludf.DUMMYFUNCTION("""COMPUTED_VALUE"""),300445.7324362962)</f>
        <v>300445.7324</v>
      </c>
      <c r="G657" s="13"/>
    </row>
    <row r="658" ht="15.75" customHeight="1">
      <c r="D658" s="13">
        <f>IFERROR(__xludf.DUMMYFUNCTION("""COMPUTED_VALUE"""),301186.7126644215)</f>
        <v>301186.7127</v>
      </c>
      <c r="G658" s="13"/>
    </row>
    <row r="659" ht="15.75" customHeight="1">
      <c r="D659" s="13">
        <f>IFERROR(__xludf.DUMMYFUNCTION("""COMPUTED_VALUE"""),301929.5203496853)</f>
        <v>301929.5203</v>
      </c>
      <c r="G659" s="13"/>
    </row>
    <row r="660" ht="15.75" customHeight="1">
      <c r="D660" s="13">
        <f>IFERROR(__xludf.DUMMYFUNCTION("""COMPUTED_VALUE"""),302674.15999908984)</f>
        <v>302674.16</v>
      </c>
      <c r="G660" s="13"/>
    </row>
    <row r="661" ht="15.75" customHeight="1">
      <c r="D661" s="13">
        <f>IFERROR(__xludf.DUMMYFUNCTION("""COMPUTED_VALUE"""),303420.63613075303)</f>
        <v>303420.6361</v>
      </c>
      <c r="G661" s="13"/>
    </row>
    <row r="662" ht="15.75" customHeight="1">
      <c r="D662" s="13">
        <f>IFERROR(__xludf.DUMMYFUNCTION("""COMPUTED_VALUE"""),304168.9532739355)</f>
        <v>304168.9533</v>
      </c>
      <c r="G662" s="13"/>
    </row>
    <row r="663" ht="15.75" customHeight="1">
      <c r="D663" s="13">
        <f>IFERROR(__xludf.DUMMYFUNCTION("""COMPUTED_VALUE"""),304919.11596906825)</f>
        <v>304919.116</v>
      </c>
      <c r="G663" s="13"/>
    </row>
    <row r="664" ht="15.75" customHeight="1">
      <c r="D664" s="13">
        <f>IFERROR(__xludf.DUMMYFUNCTION("""COMPUTED_VALUE"""),305671.1287677803)</f>
        <v>305671.1288</v>
      </c>
      <c r="G664" s="13"/>
    </row>
    <row r="665" ht="15.75" customHeight="1">
      <c r="D665" s="13">
        <f>IFERROR(__xludf.DUMMYFUNCTION("""COMPUTED_VALUE"""),306424.99623292626)</f>
        <v>306424.9962</v>
      </c>
      <c r="G665" s="13"/>
    </row>
    <row r="666" ht="15.75" customHeight="1">
      <c r="D666" s="13">
        <f>IFERROR(__xludf.DUMMYFUNCTION("""COMPUTED_VALUE"""),307180.7229386138)</f>
        <v>307180.7229</v>
      </c>
      <c r="G666" s="13"/>
    </row>
    <row r="667" ht="15.75" customHeight="1">
      <c r="D667" s="13">
        <f>IFERROR(__xludf.DUMMYFUNCTION("""COMPUTED_VALUE"""),307938.31347023166)</f>
        <v>307938.3135</v>
      </c>
      <c r="G667" s="13"/>
    </row>
    <row r="668" ht="15.75" customHeight="1">
      <c r="D668" s="13">
        <f>IFERROR(__xludf.DUMMYFUNCTION("""COMPUTED_VALUE"""),308697.77242447744)</f>
        <v>308697.7724</v>
      </c>
      <c r="G668" s="13"/>
    </row>
    <row r="669" ht="15.75" customHeight="1">
      <c r="D669" s="13">
        <f>IFERROR(__xludf.DUMMYFUNCTION("""COMPUTED_VALUE"""),309459.1044093854)</f>
        <v>309459.1044</v>
      </c>
      <c r="G669" s="13"/>
    </row>
    <row r="670" ht="15.75" customHeight="1">
      <c r="D670" s="13">
        <f>IFERROR(__xludf.DUMMYFUNCTION("""COMPUTED_VALUE"""),310222.3140443544)</f>
        <v>310222.314</v>
      </c>
      <c r="G670" s="13"/>
    </row>
    <row r="671" ht="15.75" customHeight="1">
      <c r="D671" s="13">
        <f>IFERROR(__xludf.DUMMYFUNCTION("""COMPUTED_VALUE"""),310987.40596017614)</f>
        <v>310987.406</v>
      </c>
      <c r="G671" s="13"/>
    </row>
    <row r="672" ht="15.75" customHeight="1">
      <c r="D672" s="13">
        <f>IFERROR(__xludf.DUMMYFUNCTION("""COMPUTED_VALUE"""),311754.38479906286)</f>
        <v>311754.3848</v>
      </c>
      <c r="G672" s="13"/>
    </row>
    <row r="673" ht="15.75" customHeight="1">
      <c r="D673" s="13">
        <f>IFERROR(__xludf.DUMMYFUNCTION("""COMPUTED_VALUE"""),312523.2552146759)</f>
        <v>312523.2552</v>
      </c>
      <c r="G673" s="13"/>
    </row>
    <row r="674" ht="15.75" customHeight="1">
      <c r="D674" s="13">
        <f>IFERROR(__xludf.DUMMYFUNCTION("""COMPUTED_VALUE"""),313294.0218721538)</f>
        <v>313294.0219</v>
      </c>
      <c r="G674" s="13"/>
    </row>
    <row r="675" ht="15.75" customHeight="1">
      <c r="D675" s="13">
        <f>IFERROR(__xludf.DUMMYFUNCTION("""COMPUTED_VALUE"""),314066.68944814056)</f>
        <v>314066.6894</v>
      </c>
      <c r="G675" s="13"/>
    </row>
    <row r="676" ht="15.75" customHeight="1">
      <c r="D676" s="13">
        <f>IFERROR(__xludf.DUMMYFUNCTION("""COMPUTED_VALUE"""),314841.262630814)</f>
        <v>314841.2626</v>
      </c>
      <c r="G676" s="13"/>
    </row>
    <row r="677" ht="15.75" customHeight="1">
      <c r="D677" s="13">
        <f>IFERROR(__xludf.DUMMYFUNCTION("""COMPUTED_VALUE"""),315617.7461199143)</f>
        <v>315617.7461</v>
      </c>
      <c r="G677" s="13"/>
    </row>
    <row r="678" ht="15.75" customHeight="1">
      <c r="D678" s="13">
        <f>IFERROR(__xludf.DUMMYFUNCTION("""COMPUTED_VALUE"""),316396.14462677244)</f>
        <v>316396.1446</v>
      </c>
      <c r="G678" s="13"/>
    </row>
    <row r="679" ht="15.75" customHeight="1">
      <c r="D679" s="13">
        <f>IFERROR(__xludf.DUMMYFUNCTION("""COMPUTED_VALUE"""),317176.46287433885)</f>
        <v>317176.4629</v>
      </c>
      <c r="G679" s="13"/>
    </row>
    <row r="680" ht="15.75" customHeight="1">
      <c r="D680" s="13">
        <f>IFERROR(__xludf.DUMMYFUNCTION("""COMPUTED_VALUE"""),317958.705597212)</f>
        <v>317958.7056</v>
      </c>
      <c r="G680" s="13"/>
    </row>
    <row r="681" ht="15.75" customHeight="1">
      <c r="D681" s="13">
        <f>IFERROR(__xludf.DUMMYFUNCTION("""COMPUTED_VALUE"""),318742.8775416672)</f>
        <v>318742.8775</v>
      </c>
      <c r="G681" s="13"/>
    </row>
    <row r="682" ht="15.75" customHeight="1">
      <c r="D682" s="13">
        <f>IFERROR(__xludf.DUMMYFUNCTION("""COMPUTED_VALUE"""),319528.98346568533)</f>
        <v>319528.9835</v>
      </c>
      <c r="G682" s="13"/>
    </row>
    <row r="683" ht="15.75" customHeight="1">
      <c r="D683" s="13">
        <f>IFERROR(__xludf.DUMMYFUNCTION("""COMPUTED_VALUE"""),320317.02813898167)</f>
        <v>320317.0281</v>
      </c>
      <c r="G683" s="13"/>
    </row>
    <row r="684" ht="15.75" customHeight="1">
      <c r="D684" s="13">
        <f>IFERROR(__xludf.DUMMYFUNCTION("""COMPUTED_VALUE"""),321107.016343035)</f>
        <v>321107.0163</v>
      </c>
      <c r="G684" s="13"/>
    </row>
    <row r="685" ht="15.75" customHeight="1">
      <c r="D685" s="13">
        <f>IFERROR(__xludf.DUMMYFUNCTION("""COMPUTED_VALUE"""),321898.95287111646)</f>
        <v>321898.9529</v>
      </c>
      <c r="G685" s="13"/>
    </row>
    <row r="686" ht="15.75" customHeight="1">
      <c r="D686" s="13">
        <f>IFERROR(__xludf.DUMMYFUNCTION("""COMPUTED_VALUE"""),322692.8425283187)</f>
        <v>322692.8425</v>
      </c>
      <c r="G686" s="13"/>
    </row>
    <row r="687" ht="15.75" customHeight="1">
      <c r="D687" s="13">
        <f>IFERROR(__xludf.DUMMYFUNCTION("""COMPUTED_VALUE"""),323488.69013158506)</f>
        <v>323488.6901</v>
      </c>
      <c r="G687" s="13"/>
    </row>
    <row r="688" ht="15.75" customHeight="1">
      <c r="D688" s="13">
        <f>IFERROR(__xludf.DUMMYFUNCTION("""COMPUTED_VALUE"""),324286.5005097387)</f>
        <v>324286.5005</v>
      </c>
      <c r="G688" s="13"/>
    </row>
    <row r="689" ht="15.75" customHeight="1">
      <c r="D689" s="13">
        <f>IFERROR(__xludf.DUMMYFUNCTION("""COMPUTED_VALUE"""),325086.278503512)</f>
        <v>325086.2785</v>
      </c>
      <c r="G689" s="13"/>
    </row>
    <row r="690" ht="15.75" customHeight="1">
      <c r="D690" s="13">
        <f>IFERROR(__xludf.DUMMYFUNCTION("""COMPUTED_VALUE"""),325888.0289655759)</f>
        <v>325888.029</v>
      </c>
      <c r="G690" s="13"/>
    </row>
    <row r="691" ht="15.75" customHeight="1">
      <c r="D691" s="13">
        <f>IFERROR(__xludf.DUMMYFUNCTION("""COMPUTED_VALUE"""),326691.75676056935)</f>
        <v>326691.7568</v>
      </c>
      <c r="G691" s="13"/>
    </row>
    <row r="692" ht="15.75" customHeight="1">
      <c r="D692" s="13">
        <f>IFERROR(__xludf.DUMMYFUNCTION("""COMPUTED_VALUE"""),327497.4667651287)</f>
        <v>327497.4668</v>
      </c>
      <c r="G692" s="13"/>
    </row>
    <row r="693" ht="15.75" customHeight="1">
      <c r="D693" s="13">
        <f>IFERROR(__xludf.DUMMYFUNCTION("""COMPUTED_VALUE"""),328305.1638679176)</f>
        <v>328305.1639</v>
      </c>
      <c r="G693" s="13"/>
    </row>
    <row r="694" ht="15.75" customHeight="1">
      <c r="D694" s="13">
        <f>IFERROR(__xludf.DUMMYFUNCTION("""COMPUTED_VALUE"""),329114.8529696563)</f>
        <v>329114.853</v>
      </c>
      <c r="G694" s="13"/>
    </row>
    <row r="695" ht="15.75" customHeight="1">
      <c r="D695" s="13">
        <f>IFERROR(__xludf.DUMMYFUNCTION("""COMPUTED_VALUE"""),329926.53898315155)</f>
        <v>329926.539</v>
      </c>
      <c r="G695" s="13"/>
    </row>
    <row r="696" ht="15.75" customHeight="1">
      <c r="D696" s="13">
        <f>IFERROR(__xludf.DUMMYFUNCTION("""COMPUTED_VALUE"""),330740.22683332645)</f>
        <v>330740.2268</v>
      </c>
      <c r="G696" s="13"/>
    </row>
    <row r="697" ht="15.75" customHeight="1">
      <c r="D697" s="13">
        <f>IFERROR(__xludf.DUMMYFUNCTION("""COMPUTED_VALUE"""),331555.92145725037)</f>
        <v>331555.9215</v>
      </c>
      <c r="G697" s="13"/>
    </row>
    <row r="698" ht="15.75" customHeight="1">
      <c r="D698" s="13">
        <f>IFERROR(__xludf.DUMMYFUNCTION("""COMPUTED_VALUE"""),332373.6278041687)</f>
        <v>332373.6278</v>
      </c>
      <c r="G698" s="13"/>
    </row>
    <row r="699" ht="15.75" customHeight="1">
      <c r="D699" s="13">
        <f>IFERROR(__xludf.DUMMYFUNCTION("""COMPUTED_VALUE"""),333193.350835533)</f>
        <v>333193.3508</v>
      </c>
      <c r="G699" s="13"/>
    </row>
    <row r="700" ht="15.75" customHeight="1">
      <c r="D700" s="13">
        <f>IFERROR(__xludf.DUMMYFUNCTION("""COMPUTED_VALUE"""),334015.09552503127)</f>
        <v>334015.0955</v>
      </c>
      <c r="G700" s="13"/>
    </row>
    <row r="701" ht="15.75" customHeight="1">
      <c r="D701" s="13">
        <f>IFERROR(__xludf.DUMMYFUNCTION("""COMPUTED_VALUE"""),334838.8668586178)</f>
        <v>334838.8669</v>
      </c>
      <c r="G701" s="13"/>
    </row>
    <row r="702" ht="15.75" customHeight="1">
      <c r="D702" s="13">
        <f>IFERROR(__xludf.DUMMYFUNCTION("""COMPUTED_VALUE"""),335664.66983454366)</f>
        <v>335664.6698</v>
      </c>
      <c r="G702" s="13"/>
    </row>
    <row r="703" ht="15.75" customHeight="1">
      <c r="D703" s="13">
        <f>IFERROR(__xludf.DUMMYFUNCTION("""COMPUTED_VALUE"""),336492.5094633869)</f>
        <v>336492.5095</v>
      </c>
      <c r="G703" s="13"/>
    </row>
    <row r="704" ht="15.75" customHeight="1">
      <c r="D704" s="13">
        <f>IFERROR(__xludf.DUMMYFUNCTION("""COMPUTED_VALUE"""),337322.39076808305)</f>
        <v>337322.3908</v>
      </c>
      <c r="G704" s="13"/>
    </row>
    <row r="705" ht="15.75" customHeight="1">
      <c r="D705" s="13">
        <f>IFERROR(__xludf.DUMMYFUNCTION("""COMPUTED_VALUE"""),338154.3187839556)</f>
        <v>338154.3188</v>
      </c>
      <c r="G705" s="13"/>
    </row>
    <row r="706" ht="15.75" customHeight="1">
      <c r="D706" s="13">
        <f>IFERROR(__xludf.DUMMYFUNCTION("""COMPUTED_VALUE"""),338988.2985587464)</f>
        <v>338988.2986</v>
      </c>
      <c r="G706" s="13"/>
    </row>
    <row r="707" ht="15.75" customHeight="1">
      <c r="D707" s="13">
        <f>IFERROR(__xludf.DUMMYFUNCTION("""COMPUTED_VALUE"""),339824.3351526465)</f>
        <v>339824.3352</v>
      </c>
      <c r="G707" s="13"/>
    </row>
    <row r="708" ht="15.75" customHeight="1">
      <c r="D708" s="13">
        <f>IFERROR(__xludf.DUMMYFUNCTION("""COMPUTED_VALUE"""),340662.4336383267)</f>
        <v>340662.4336</v>
      </c>
      <c r="G708" s="13"/>
    </row>
    <row r="709" ht="15.75" customHeight="1">
      <c r="D709" s="13">
        <f>IFERROR(__xludf.DUMMYFUNCTION("""COMPUTED_VALUE"""),341502.59910096833)</f>
        <v>341502.5991</v>
      </c>
      <c r="G709" s="13"/>
    </row>
    <row r="710" ht="15.75" customHeight="1">
      <c r="D710" s="13">
        <f>IFERROR(__xludf.DUMMYFUNCTION("""COMPUTED_VALUE"""),342344.8366382942)</f>
        <v>342344.8366</v>
      </c>
      <c r="G710" s="13"/>
    </row>
    <row r="711" ht="15.75" customHeight="1">
      <c r="D711" s="13">
        <f>IFERROR(__xludf.DUMMYFUNCTION("""COMPUTED_VALUE"""),343189.1513605995)</f>
        <v>343189.1514</v>
      </c>
      <c r="G711" s="13"/>
    </row>
    <row r="712" ht="15.75" customHeight="1">
      <c r="D712" s="13">
        <f>IFERROR(__xludf.DUMMYFUNCTION("""COMPUTED_VALUE"""),344035.5483907827)</f>
        <v>344035.5484</v>
      </c>
      <c r="G712" s="13"/>
    </row>
    <row r="713" ht="15.75" customHeight="1">
      <c r="D713" s="13">
        <f>IFERROR(__xludf.DUMMYFUNCTION("""COMPUTED_VALUE"""),344884.0328643768)</f>
        <v>344884.0329</v>
      </c>
      <c r="G713" s="13"/>
    </row>
    <row r="714" ht="15.75" customHeight="1">
      <c r="D714" s="13">
        <f>IFERROR(__xludf.DUMMYFUNCTION("""COMPUTED_VALUE"""),345734.6099295804)</f>
        <v>345734.6099</v>
      </c>
      <c r="G714" s="13"/>
    </row>
    <row r="715" ht="15.75" customHeight="1">
      <c r="D715" s="13">
        <f>IFERROR(__xludf.DUMMYFUNCTION("""COMPUTED_VALUE"""),346587.28474728897)</f>
        <v>346587.2847</v>
      </c>
      <c r="G715" s="13"/>
    </row>
    <row r="716" ht="15.75" customHeight="1">
      <c r="D716" s="13">
        <f>IFERROR(__xludf.DUMMYFUNCTION("""COMPUTED_VALUE"""),347442.062491126)</f>
        <v>347442.0625</v>
      </c>
      <c r="G716" s="13"/>
    </row>
    <row r="717" ht="15.75" customHeight="1">
      <c r="D717" s="13">
        <f>IFERROR(__xludf.DUMMYFUNCTION("""COMPUTED_VALUE"""),348298.94834747474)</f>
        <v>348298.9483</v>
      </c>
      <c r="G717" s="13"/>
    </row>
    <row r="718" ht="15.75" customHeight="1">
      <c r="D718" s="13">
        <f>IFERROR(__xludf.DUMMYFUNCTION("""COMPUTED_VALUE"""),349157.94751550927)</f>
        <v>349157.9475</v>
      </c>
      <c r="G718" s="13"/>
    </row>
    <row r="719" ht="15.75" customHeight="1">
      <c r="D719" s="13">
        <f>IFERROR(__xludf.DUMMYFUNCTION("""COMPUTED_VALUE"""),350019.0652072264)</f>
        <v>350019.0652</v>
      </c>
      <c r="G719" s="13"/>
    </row>
    <row r="720" ht="15.75" customHeight="1">
      <c r="D720" s="13">
        <f>IFERROR(__xludf.DUMMYFUNCTION("""COMPUTED_VALUE"""),350882.306647477)</f>
        <v>350882.3066</v>
      </c>
      <c r="G720" s="13"/>
    </row>
    <row r="721" ht="15.75" customHeight="1">
      <c r="D721" s="13">
        <f>IFERROR(__xludf.DUMMYFUNCTION("""COMPUTED_VALUE"""),351747.67707399785)</f>
        <v>351747.6771</v>
      </c>
      <c r="G721" s="13"/>
    </row>
    <row r="722" ht="15.75" customHeight="1">
      <c r="D722" s="13">
        <f>IFERROR(__xludf.DUMMYFUNCTION("""COMPUTED_VALUE"""),352615.1817374435)</f>
        <v>352615.1817</v>
      </c>
      <c r="G722" s="13"/>
    </row>
    <row r="723" ht="15.75" customHeight="1">
      <c r="D723" s="13">
        <f>IFERROR(__xludf.DUMMYFUNCTION("""COMPUTED_VALUE"""),353484.82590141793)</f>
        <v>353484.8259</v>
      </c>
      <c r="G723" s="13"/>
    </row>
    <row r="724" ht="15.75" customHeight="1">
      <c r="D724" s="13">
        <f>IFERROR(__xludf.DUMMYFUNCTION("""COMPUTED_VALUE"""),354356.61484250665)</f>
        <v>354356.6148</v>
      </c>
      <c r="G724" s="13"/>
    </row>
    <row r="725" ht="15.75" customHeight="1">
      <c r="D725" s="13">
        <f>IFERROR(__xludf.DUMMYFUNCTION("""COMPUTED_VALUE"""),355230.5538503086)</f>
        <v>355230.5539</v>
      </c>
      <c r="G725" s="13"/>
    </row>
    <row r="726" ht="15.75" customHeight="1">
      <c r="D726" s="13">
        <f>IFERROR(__xludf.DUMMYFUNCTION("""COMPUTED_VALUE"""),356106.6482274683)</f>
        <v>356106.6482</v>
      </c>
      <c r="G726" s="13"/>
    </row>
    <row r="727" ht="15.75" customHeight="1">
      <c r="D727" s="13">
        <f>IFERROR(__xludf.DUMMYFUNCTION("""COMPUTED_VALUE"""),356984.9032897081)</f>
        <v>356984.9033</v>
      </c>
      <c r="G727" s="13"/>
    </row>
    <row r="728" ht="15.75" customHeight="1">
      <c r="D728" s="13">
        <f>IFERROR(__xludf.DUMMYFUNCTION("""COMPUTED_VALUE"""),357865.32436586026)</f>
        <v>357865.3244</v>
      </c>
      <c r="G728" s="13"/>
    </row>
    <row r="729" ht="15.75" customHeight="1">
      <c r="D729" s="13">
        <f>IFERROR(__xludf.DUMMYFUNCTION("""COMPUTED_VALUE"""),358747.9167978994)</f>
        <v>358747.9168</v>
      </c>
      <c r="G729" s="13"/>
    </row>
    <row r="730" ht="15.75" customHeight="1">
      <c r="D730" s="13">
        <f>IFERROR(__xludf.DUMMYFUNCTION("""COMPUTED_VALUE"""),359632.685940975)</f>
        <v>359632.6859</v>
      </c>
      <c r="G730" s="13"/>
    </row>
    <row r="731" ht="15.75" customHeight="1">
      <c r="D731" s="13">
        <f>IFERROR(__xludf.DUMMYFUNCTION("""COMPUTED_VALUE"""),360519.6371634436)</f>
        <v>360519.6372</v>
      </c>
      <c r="G731" s="13"/>
    </row>
    <row r="732" ht="15.75" customHeight="1">
      <c r="D732" s="13">
        <f>IFERROR(__xludf.DUMMYFUNCTION("""COMPUTED_VALUE"""),361408.7758469017)</f>
        <v>361408.7758</v>
      </c>
      <c r="G732" s="13"/>
    </row>
    <row r="733" ht="15.75" customHeight="1">
      <c r="D733" s="13">
        <f>IFERROR(__xludf.DUMMYFUNCTION("""COMPUTED_VALUE"""),362300.1073862182)</f>
        <v>362300.1074</v>
      </c>
      <c r="G733" s="13"/>
    </row>
    <row r="734" ht="15.75" customHeight="1">
      <c r="D734" s="13">
        <f>IFERROR(__xludf.DUMMYFUNCTION("""COMPUTED_VALUE"""),363193.6371895672)</f>
        <v>363193.6372</v>
      </c>
      <c r="G734" s="13"/>
    </row>
    <row r="735" ht="15.75" customHeight="1">
      <c r="G735" s="13"/>
    </row>
    <row r="736" ht="15.75" customHeight="1">
      <c r="G736" s="13"/>
    </row>
    <row r="737" ht="15.75" customHeight="1">
      <c r="G737" s="13"/>
    </row>
    <row r="738" ht="15.75" customHeight="1">
      <c r="G738" s="13"/>
    </row>
    <row r="739" ht="15.75" customHeight="1">
      <c r="G739" s="13"/>
    </row>
    <row r="740" ht="15.75" customHeight="1">
      <c r="G740" s="13"/>
    </row>
    <row r="741" ht="15.75" customHeight="1">
      <c r="G741" s="13"/>
    </row>
    <row r="742" ht="15.75" customHeight="1">
      <c r="G742" s="13"/>
    </row>
    <row r="743" ht="15.75" customHeight="1">
      <c r="G743" s="13"/>
    </row>
    <row r="744" ht="15.75" customHeight="1">
      <c r="G744" s="13"/>
    </row>
    <row r="745" ht="15.75" customHeight="1">
      <c r="G745" s="13"/>
    </row>
    <row r="746" ht="15.75" customHeight="1">
      <c r="G746" s="13"/>
    </row>
    <row r="747" ht="15.75" customHeight="1">
      <c r="G747" s="13"/>
    </row>
    <row r="748" ht="15.75" customHeight="1">
      <c r="G748" s="13"/>
    </row>
    <row r="749" ht="15.75" customHeight="1">
      <c r="G749" s="13"/>
    </row>
    <row r="750" ht="15.75" customHeight="1">
      <c r="G750" s="13"/>
    </row>
    <row r="751" ht="15.75" customHeight="1">
      <c r="G751" s="13"/>
    </row>
    <row r="752" ht="15.75" customHeight="1">
      <c r="G752" s="13"/>
    </row>
    <row r="753" ht="15.75" customHeight="1">
      <c r="G753" s="13"/>
    </row>
    <row r="754" ht="15.75" customHeight="1">
      <c r="G754" s="13"/>
    </row>
    <row r="755" ht="15.75" customHeight="1">
      <c r="G755" s="13"/>
    </row>
    <row r="756" ht="15.75" customHeight="1">
      <c r="G756" s="13"/>
    </row>
    <row r="757" ht="15.75" customHeight="1">
      <c r="G757" s="13"/>
    </row>
    <row r="758" ht="15.75" customHeight="1">
      <c r="G758" s="13"/>
    </row>
    <row r="759" ht="15.75" customHeight="1">
      <c r="G759" s="13"/>
    </row>
    <row r="760" ht="15.75" customHeight="1">
      <c r="G760" s="13"/>
    </row>
    <row r="761" ht="15.75" customHeight="1">
      <c r="G761" s="13"/>
    </row>
    <row r="762" ht="15.75" customHeight="1">
      <c r="G762" s="13"/>
    </row>
    <row r="763" ht="15.75" customHeight="1">
      <c r="G763" s="13"/>
    </row>
    <row r="764" ht="15.75" customHeight="1">
      <c r="G764" s="13"/>
    </row>
    <row r="765" ht="15.75" customHeight="1">
      <c r="G765" s="13"/>
    </row>
    <row r="766" ht="15.75" customHeight="1">
      <c r="G766" s="13"/>
    </row>
    <row r="767" ht="15.75" customHeight="1">
      <c r="G767" s="13"/>
    </row>
    <row r="768" ht="15.75" customHeight="1">
      <c r="G768" s="13"/>
    </row>
    <row r="769" ht="15.75" customHeight="1">
      <c r="G769" s="13"/>
    </row>
    <row r="770" ht="15.75" customHeight="1">
      <c r="G770" s="13"/>
    </row>
    <row r="771" ht="15.75" customHeight="1">
      <c r="G771" s="13"/>
    </row>
    <row r="772" ht="15.75" customHeight="1">
      <c r="G772" s="13"/>
    </row>
    <row r="773" ht="15.75" customHeight="1">
      <c r="G773" s="13"/>
    </row>
    <row r="774" ht="15.75" customHeight="1">
      <c r="G774" s="13"/>
    </row>
    <row r="775" ht="15.75" customHeight="1">
      <c r="G775" s="13"/>
    </row>
    <row r="776" ht="15.75" customHeight="1">
      <c r="G776" s="13"/>
    </row>
    <row r="777" ht="15.75" customHeight="1">
      <c r="G777" s="13"/>
    </row>
    <row r="778" ht="15.75" customHeight="1">
      <c r="G778" s="13"/>
    </row>
    <row r="779" ht="15.75" customHeight="1">
      <c r="G779" s="13"/>
    </row>
    <row r="780" ht="15.75" customHeight="1">
      <c r="G780" s="13"/>
    </row>
    <row r="781" ht="15.75" customHeight="1">
      <c r="G781" s="13"/>
    </row>
    <row r="782" ht="15.75" customHeight="1">
      <c r="G782" s="13"/>
    </row>
    <row r="783" ht="15.75" customHeight="1">
      <c r="G783" s="13"/>
    </row>
    <row r="784" ht="15.75" customHeight="1">
      <c r="G784" s="13"/>
    </row>
    <row r="785" ht="15.75" customHeight="1">
      <c r="G785" s="13"/>
    </row>
    <row r="786" ht="15.75" customHeight="1">
      <c r="G786" s="13"/>
    </row>
    <row r="787" ht="15.75" customHeight="1">
      <c r="G787" s="13"/>
    </row>
    <row r="788" ht="15.75" customHeight="1">
      <c r="G788" s="13"/>
    </row>
    <row r="789" ht="15.75" customHeight="1">
      <c r="G789" s="13"/>
    </row>
    <row r="790" ht="15.75" customHeight="1">
      <c r="G790" s="13"/>
    </row>
    <row r="791" ht="15.75" customHeight="1">
      <c r="G791" s="13"/>
    </row>
    <row r="792" ht="15.75" customHeight="1">
      <c r="G792" s="13"/>
    </row>
    <row r="793" ht="15.75" customHeight="1">
      <c r="G793" s="13"/>
    </row>
    <row r="794" ht="15.75" customHeight="1">
      <c r="G794" s="13"/>
    </row>
    <row r="795" ht="15.75" customHeight="1">
      <c r="G795" s="13"/>
    </row>
    <row r="796" ht="15.75" customHeight="1">
      <c r="G796" s="13"/>
    </row>
    <row r="797" ht="15.75" customHeight="1">
      <c r="G797" s="13"/>
    </row>
    <row r="798" ht="15.75" customHeight="1">
      <c r="G798" s="13"/>
    </row>
    <row r="799" ht="15.75" customHeight="1">
      <c r="G799" s="13"/>
    </row>
    <row r="800" ht="15.75" customHeight="1">
      <c r="G800" s="13"/>
    </row>
    <row r="801" ht="15.75" customHeight="1">
      <c r="G801" s="13"/>
    </row>
    <row r="802" ht="15.75" customHeight="1">
      <c r="G802" s="13"/>
    </row>
    <row r="803" ht="15.75" customHeight="1">
      <c r="G803" s="13"/>
    </row>
    <row r="804" ht="15.75" customHeight="1">
      <c r="G804" s="13"/>
    </row>
    <row r="805" ht="15.75" customHeight="1">
      <c r="G805" s="13"/>
    </row>
    <row r="806" ht="15.75" customHeight="1">
      <c r="G806" s="13"/>
    </row>
    <row r="807" ht="15.75" customHeight="1">
      <c r="G807" s="13"/>
    </row>
    <row r="808" ht="15.75" customHeight="1">
      <c r="G808" s="13"/>
    </row>
    <row r="809" ht="15.75" customHeight="1">
      <c r="G809" s="13"/>
    </row>
    <row r="810" ht="15.75" customHeight="1">
      <c r="G810" s="13"/>
    </row>
    <row r="811" ht="15.75" customHeight="1">
      <c r="G811" s="13"/>
    </row>
    <row r="812" ht="15.75" customHeight="1">
      <c r="G812" s="13"/>
    </row>
    <row r="813" ht="15.75" customHeight="1">
      <c r="G813" s="13"/>
    </row>
    <row r="814" ht="15.75" customHeight="1">
      <c r="G814" s="13"/>
    </row>
    <row r="815" ht="15.75" customHeight="1">
      <c r="G815" s="13"/>
    </row>
    <row r="816" ht="15.75" customHeight="1">
      <c r="G816" s="13"/>
    </row>
    <row r="817" ht="15.75" customHeight="1">
      <c r="G817" s="13"/>
    </row>
    <row r="818" ht="15.75" customHeight="1">
      <c r="G818" s="13"/>
    </row>
    <row r="819" ht="15.75" customHeight="1">
      <c r="G819" s="13"/>
    </row>
    <row r="820" ht="15.75" customHeight="1">
      <c r="G820" s="13"/>
    </row>
    <row r="821" ht="15.75" customHeight="1">
      <c r="G821" s="13"/>
    </row>
    <row r="822" ht="15.75" customHeight="1">
      <c r="G822" s="13"/>
    </row>
    <row r="823" ht="15.75" customHeight="1">
      <c r="G823" s="13"/>
    </row>
    <row r="824" ht="15.75" customHeight="1">
      <c r="G824" s="13"/>
    </row>
    <row r="825" ht="15.75" customHeight="1">
      <c r="G825" s="13"/>
    </row>
    <row r="826" ht="15.75" customHeight="1">
      <c r="G826" s="13"/>
    </row>
    <row r="827" ht="15.75" customHeight="1">
      <c r="G827" s="13"/>
    </row>
    <row r="828" ht="15.75" customHeight="1">
      <c r="G828" s="13"/>
    </row>
    <row r="829" ht="15.75" customHeight="1">
      <c r="G829" s="13"/>
    </row>
    <row r="830" ht="15.75" customHeight="1">
      <c r="G830" s="13"/>
    </row>
    <row r="831" ht="15.75" customHeight="1">
      <c r="G831" s="13"/>
    </row>
    <row r="832" ht="15.75" customHeight="1">
      <c r="G832" s="13"/>
    </row>
    <row r="833" ht="15.75" customHeight="1">
      <c r="G833" s="13"/>
    </row>
    <row r="834" ht="15.75" customHeight="1">
      <c r="G834" s="13"/>
    </row>
    <row r="835" ht="15.75" customHeight="1">
      <c r="G835" s="13"/>
    </row>
    <row r="836" ht="15.75" customHeight="1">
      <c r="G836" s="13"/>
    </row>
    <row r="837" ht="15.75" customHeight="1">
      <c r="G837" s="13"/>
    </row>
    <row r="838" ht="15.75" customHeight="1">
      <c r="G838" s="13"/>
    </row>
    <row r="839" ht="15.75" customHeight="1">
      <c r="G839" s="13"/>
    </row>
    <row r="840" ht="15.75" customHeight="1">
      <c r="G840" s="13"/>
    </row>
    <row r="841" ht="15.75" customHeight="1">
      <c r="G841" s="13"/>
    </row>
    <row r="842" ht="15.75" customHeight="1">
      <c r="G842" s="13"/>
    </row>
    <row r="843" ht="15.75" customHeight="1">
      <c r="G843" s="13"/>
    </row>
    <row r="844" ht="15.75" customHeight="1">
      <c r="G844" s="13"/>
    </row>
    <row r="845" ht="15.75" customHeight="1">
      <c r="G845" s="13"/>
    </row>
    <row r="846" ht="15.75" customHeight="1">
      <c r="G846" s="13"/>
    </row>
    <row r="847" ht="15.75" customHeight="1">
      <c r="G847" s="13"/>
    </row>
    <row r="848" ht="15.75" customHeight="1">
      <c r="G848" s="13"/>
    </row>
    <row r="849" ht="15.75" customHeight="1">
      <c r="G849" s="13"/>
    </row>
    <row r="850" ht="15.75" customHeight="1">
      <c r="G850" s="13"/>
    </row>
    <row r="851" ht="15.75" customHeight="1">
      <c r="G851" s="13"/>
    </row>
    <row r="852" ht="15.75" customHeight="1">
      <c r="G852" s="13"/>
    </row>
    <row r="853" ht="15.75" customHeight="1">
      <c r="G853" s="13"/>
    </row>
    <row r="854" ht="15.75" customHeight="1">
      <c r="G854" s="13"/>
    </row>
    <row r="855" ht="15.75" customHeight="1">
      <c r="G855" s="13"/>
    </row>
    <row r="856" ht="15.75" customHeight="1">
      <c r="G856" s="13"/>
    </row>
    <row r="857" ht="15.75" customHeight="1">
      <c r="G857" s="13"/>
    </row>
    <row r="858" ht="15.75" customHeight="1">
      <c r="G858" s="13"/>
    </row>
    <row r="859" ht="15.75" customHeight="1">
      <c r="G859" s="13"/>
    </row>
    <row r="860" ht="15.75" customHeight="1">
      <c r="G860" s="13"/>
    </row>
    <row r="861" ht="15.75" customHeight="1">
      <c r="G861" s="13"/>
    </row>
    <row r="862" ht="15.75" customHeight="1">
      <c r="G862" s="13"/>
    </row>
    <row r="863" ht="15.75" customHeight="1">
      <c r="G863" s="13"/>
    </row>
    <row r="864" ht="15.75" customHeight="1">
      <c r="G864" s="13"/>
    </row>
    <row r="865" ht="15.75" customHeight="1">
      <c r="G865" s="13"/>
    </row>
    <row r="866" ht="15.75" customHeight="1">
      <c r="G866" s="13"/>
    </row>
    <row r="867" ht="15.75" customHeight="1">
      <c r="G867" s="13"/>
    </row>
    <row r="868" ht="15.75" customHeight="1">
      <c r="G868" s="13"/>
    </row>
    <row r="869" ht="15.75" customHeight="1">
      <c r="G869" s="13"/>
    </row>
    <row r="870" ht="15.75" customHeight="1">
      <c r="G870" s="13"/>
    </row>
    <row r="871" ht="15.75" customHeight="1">
      <c r="G871" s="13"/>
    </row>
    <row r="872" ht="15.75" customHeight="1">
      <c r="G872" s="13"/>
    </row>
    <row r="873" ht="15.75" customHeight="1">
      <c r="G873" s="13"/>
    </row>
    <row r="874" ht="15.75" customHeight="1">
      <c r="G874" s="13"/>
    </row>
    <row r="875" ht="15.75" customHeight="1">
      <c r="G875" s="13"/>
    </row>
    <row r="876" ht="15.75" customHeight="1">
      <c r="G876" s="13"/>
    </row>
    <row r="877" ht="15.75" customHeight="1">
      <c r="G877" s="13"/>
    </row>
    <row r="878" ht="15.75" customHeight="1">
      <c r="G878" s="13"/>
    </row>
    <row r="879" ht="15.75" customHeight="1">
      <c r="G879" s="13"/>
    </row>
    <row r="880" ht="15.75" customHeight="1">
      <c r="G880" s="13"/>
    </row>
    <row r="881" ht="15.75" customHeight="1">
      <c r="G881" s="13"/>
    </row>
    <row r="882" ht="15.75" customHeight="1">
      <c r="G882" s="13"/>
    </row>
    <row r="883" ht="15.75" customHeight="1">
      <c r="G883" s="13"/>
    </row>
    <row r="884" ht="15.75" customHeight="1">
      <c r="G884" s="13"/>
    </row>
    <row r="885" ht="15.75" customHeight="1">
      <c r="G885" s="13"/>
    </row>
    <row r="886" ht="15.75" customHeight="1">
      <c r="G886" s="13"/>
    </row>
    <row r="887" ht="15.75" customHeight="1">
      <c r="G887" s="13"/>
    </row>
    <row r="888" ht="15.75" customHeight="1">
      <c r="G888" s="13"/>
    </row>
    <row r="889" ht="15.75" customHeight="1">
      <c r="G889" s="13"/>
    </row>
    <row r="890" ht="15.75" customHeight="1">
      <c r="G890" s="13"/>
    </row>
    <row r="891" ht="15.75" customHeight="1">
      <c r="G891" s="13"/>
    </row>
    <row r="892" ht="15.75" customHeight="1">
      <c r="G892" s="13"/>
    </row>
    <row r="893" ht="15.75" customHeight="1">
      <c r="G893" s="13"/>
    </row>
    <row r="894" ht="15.75" customHeight="1">
      <c r="G894" s="13"/>
    </row>
    <row r="895" ht="15.75" customHeight="1">
      <c r="G895" s="13"/>
    </row>
    <row r="896" ht="15.75" customHeight="1">
      <c r="G896" s="13"/>
    </row>
    <row r="897" ht="15.75" customHeight="1">
      <c r="G897" s="13"/>
    </row>
    <row r="898" ht="15.75" customHeight="1">
      <c r="G898" s="13"/>
    </row>
    <row r="899" ht="15.75" customHeight="1">
      <c r="G899" s="13"/>
    </row>
    <row r="900" ht="15.75" customHeight="1">
      <c r="G900" s="13"/>
    </row>
    <row r="901" ht="15.75" customHeight="1">
      <c r="G901" s="13"/>
    </row>
    <row r="902" ht="15.75" customHeight="1">
      <c r="G902" s="13"/>
    </row>
    <row r="903" ht="15.75" customHeight="1">
      <c r="G903" s="13"/>
    </row>
    <row r="904" ht="15.75" customHeight="1">
      <c r="G904" s="13"/>
    </row>
    <row r="905" ht="15.75" customHeight="1">
      <c r="G905" s="13"/>
    </row>
    <row r="906" ht="15.75" customHeight="1">
      <c r="G906" s="13"/>
    </row>
    <row r="907" ht="15.75" customHeight="1">
      <c r="G907" s="13"/>
    </row>
    <row r="908" ht="15.75" customHeight="1">
      <c r="G908" s="13"/>
    </row>
    <row r="909" ht="15.75" customHeight="1">
      <c r="G909" s="13"/>
    </row>
    <row r="910" ht="15.75" customHeight="1">
      <c r="G910" s="13"/>
    </row>
    <row r="911" ht="15.75" customHeight="1">
      <c r="G911" s="13"/>
    </row>
    <row r="912" ht="15.75" customHeight="1">
      <c r="G912" s="13"/>
    </row>
    <row r="913" ht="15.75" customHeight="1">
      <c r="G913" s="13"/>
    </row>
    <row r="914" ht="15.75" customHeight="1">
      <c r="G914" s="13"/>
    </row>
    <row r="915" ht="15.75" customHeight="1">
      <c r="G915" s="13"/>
    </row>
    <row r="916" ht="15.75" customHeight="1">
      <c r="G916" s="13"/>
    </row>
    <row r="917" ht="15.75" customHeight="1">
      <c r="G917" s="13"/>
    </row>
    <row r="918" ht="15.75" customHeight="1">
      <c r="G918" s="13"/>
    </row>
    <row r="919" ht="15.75" customHeight="1">
      <c r="G919" s="13"/>
    </row>
    <row r="920" ht="15.75" customHeight="1">
      <c r="G920" s="13"/>
    </row>
    <row r="921" ht="15.75" customHeight="1">
      <c r="G921" s="13"/>
    </row>
    <row r="922" ht="15.75" customHeight="1">
      <c r="G922" s="13"/>
    </row>
    <row r="923" ht="15.75" customHeight="1">
      <c r="G923" s="13"/>
    </row>
    <row r="924" ht="15.75" customHeight="1">
      <c r="G924" s="13"/>
    </row>
    <row r="925" ht="15.75" customHeight="1">
      <c r="G925" s="13"/>
    </row>
    <row r="926" ht="15.75" customHeight="1">
      <c r="G926" s="13"/>
    </row>
    <row r="927" ht="15.75" customHeight="1">
      <c r="G927" s="13"/>
    </row>
    <row r="928" ht="15.75" customHeight="1">
      <c r="G928" s="13"/>
    </row>
    <row r="929" ht="15.75" customHeight="1">
      <c r="G929" s="13"/>
    </row>
    <row r="930" ht="15.75" customHeight="1">
      <c r="G930" s="13"/>
    </row>
    <row r="931" ht="15.75" customHeight="1">
      <c r="G931" s="13"/>
    </row>
    <row r="932" ht="15.75" customHeight="1">
      <c r="G932" s="13"/>
    </row>
    <row r="933" ht="15.75" customHeight="1">
      <c r="G933" s="13"/>
    </row>
    <row r="934" ht="15.75" customHeight="1">
      <c r="G934" s="13"/>
    </row>
  </sheetData>
  <mergeCells count="1">
    <mergeCell ref="I2:L2"/>
  </mergeCells>
  <printOptions/>
  <pageMargins bottom="0.75" footer="0.0" header="0.0" left="0.7" right="0.7" top="0.75"/>
  <pageSetup orientation="landscape"/>
  <drawing r:id="rId1"/>
  <tableParts count="1">
    <tablePart r:id="rId3"/>
  </tableParts>
</worksheet>
</file>